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xml" ContentType="application/vnd.openxmlformats-officedocument.spreadsheetml.table+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omments2.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https://torontoregion-my.sharepoint.com/personal/christy_graham_trca_ca/Documents/Projects/OGS tool/"/>
    </mc:Choice>
  </mc:AlternateContent>
  <xr:revisionPtr revIDLastSave="0" documentId="8_{2DC10072-70EF-4745-9C1D-1DA619CAABEE}" xr6:coauthVersionLast="47" xr6:coauthVersionMax="47" xr10:uidLastSave="{00000000-0000-0000-0000-000000000000}"/>
  <bookViews>
    <workbookView xWindow="-108" yWindow="-108" windowWidth="23256" windowHeight="12576" tabRatio="750" xr2:uid="{00000000-000D-0000-FFFF-FFFF00000000}"/>
  </bookViews>
  <sheets>
    <sheet name="Performance Evaluation" sheetId="2" r:id="rId1"/>
    <sheet name="Rainfall &amp; Maintenance" sheetId="15" r:id="rId2"/>
    <sheet name="Test Unit Summary" sheetId="3" state="hidden" r:id="rId3"/>
    <sheet name="FIG-Annual Summary" sheetId="11" state="hidden" r:id="rId4"/>
  </sheets>
  <definedNames>
    <definedName name="AnnualPrecip">'Rainfall &amp; Maintenance'!$C$36</definedName>
    <definedName name="Area">'Performance Evaluation'!$C$21</definedName>
    <definedName name="Contech">'Rainfall &amp; Maintenance'!$E$90</definedName>
    <definedName name="EMC">'Rainfall &amp; Maintenance'!$C$41</definedName>
    <definedName name="Hydoworks">Table8[[Hydroworks ]]</definedName>
    <definedName name="Hydro">Table6[Hydro_International]</definedName>
    <definedName name="Hydro_International">Table6[Hydro_International]</definedName>
    <definedName name="Hydroworks">Table8[[Hydroworks ]]</definedName>
    <definedName name="Imbrium">Table11[Imbrium_Systems_Inc.]</definedName>
    <definedName name="Imbrium_Systems_Inc.">'Rainfall &amp; Maintenance'!$F$90:$F$92</definedName>
    <definedName name="ManufacturerColumn">OFFSET(#REF!,0,0,COUNTA(#REF!)-1,1)</definedName>
    <definedName name="Model_tested">'Rainfall &amp; Maintenance'!$A$66:$A$77</definedName>
    <definedName name="Next_Stormwater_Solutions">'Rainfall &amp; Maintenance'!$G$90</definedName>
    <definedName name="NextStorm">Table12[Next_Stormwater_Solutions]</definedName>
    <definedName name="_xlnm.Print_Area" localSheetId="0">'Performance Evaluation'!$A$1:$K$92</definedName>
    <definedName name="_xlnm.Print_Area" localSheetId="2">'Test Unit Summary'!$A$1:$G$14</definedName>
    <definedName name="_xlnm.Print_Titles" localSheetId="0">'Performance Evaluation'!$1:$2</definedName>
    <definedName name="Rainwater_Management_Ltd.">'Rainfall &amp; Maintenance'!$B$90:$B$91</definedName>
    <definedName name="RWM">Table5[Rainwater_Management_Ltd.]</definedName>
    <definedName name="SF">'Rainfall &amp; Maintenance'!$C$45</definedName>
    <definedName name="StormTrap">Table12[StormTrap]</definedName>
    <definedName name="TechnologyColumn">OFFSET(#REF!,0,0,COUNTA(#REF!)-1,1)</definedName>
    <definedName name="Vendor">'Rainfall &amp; Maintenance'!$A$90:$A$96</definedName>
    <definedName name="WetDensity">'Rainfall &amp; Maintenance'!$C$42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51" i="15" l="1"/>
  <c r="U51" i="15"/>
  <c r="C27" i="15" s="1"/>
  <c r="C34" i="2"/>
  <c r="C22" i="2"/>
  <c r="C33" i="2" l="1"/>
  <c r="D46" i="2" s="1"/>
  <c r="C48" i="2" l="1"/>
  <c r="I48" i="2"/>
  <c r="H33" i="2"/>
  <c r="C54" i="2"/>
  <c r="A26" i="11" a="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I34" i="2"/>
  <c r="F34" i="2"/>
  <c r="H57" i="2" s="1"/>
  <c r="L85" i="2"/>
  <c r="G33" i="2" l="1"/>
  <c r="E33" i="2"/>
  <c r="G46" i="2"/>
  <c r="F42" i="2"/>
  <c r="G42" i="2"/>
  <c r="H42" i="2"/>
  <c r="I42" i="2"/>
  <c r="D42" i="2"/>
  <c r="K42" i="2"/>
  <c r="C46" i="2"/>
  <c r="E46" i="2"/>
  <c r="E42" i="2"/>
  <c r="C42" i="2"/>
  <c r="F46" i="2"/>
  <c r="I33" i="2" l="1"/>
  <c r="K34" i="2" s="1"/>
  <c r="D36" i="2" s="1"/>
  <c r="C45" i="15"/>
  <c r="F33" i="2" l="1"/>
  <c r="C34" i="15" l="1"/>
  <c r="C33" i="15"/>
  <c r="C32" i="15"/>
  <c r="C31" i="15"/>
  <c r="C30" i="15"/>
  <c r="C29" i="15"/>
  <c r="C28" i="15"/>
  <c r="C26" i="15"/>
  <c r="C25" i="15"/>
  <c r="C24" i="15"/>
  <c r="C23" i="15"/>
  <c r="C22" i="15"/>
  <c r="C21" i="15"/>
  <c r="C20" i="15"/>
  <c r="C19" i="15"/>
  <c r="C18" i="15"/>
  <c r="C17" i="15"/>
  <c r="C16" i="15"/>
  <c r="C15" i="15"/>
  <c r="C14" i="15"/>
  <c r="AB51" i="15"/>
  <c r="AA51" i="15"/>
  <c r="Z51" i="15"/>
  <c r="Y51" i="15"/>
  <c r="X51" i="15"/>
  <c r="W51" i="15"/>
  <c r="T51" i="15"/>
  <c r="S51" i="15"/>
  <c r="R51" i="15"/>
  <c r="Q51" i="15"/>
  <c r="P51" i="15"/>
  <c r="O51" i="15"/>
  <c r="N51" i="15"/>
  <c r="M51" i="15"/>
  <c r="L51" i="15"/>
  <c r="K51" i="15"/>
  <c r="J51" i="15"/>
  <c r="I51" i="15"/>
  <c r="H51" i="15"/>
  <c r="G51" i="15"/>
  <c r="F51" i="15"/>
  <c r="E51" i="15"/>
  <c r="D51" i="15"/>
  <c r="C51" i="15"/>
  <c r="C7" i="15" s="1"/>
  <c r="B51" i="15"/>
  <c r="C11" i="15"/>
  <c r="C10" i="15"/>
  <c r="C9" i="15"/>
  <c r="C8" i="15"/>
  <c r="C5" i="15"/>
  <c r="B66" i="2" l="1"/>
  <c r="B2" i="11" s="1"/>
  <c r="A15" i="15"/>
  <c r="A16" i="15" s="1"/>
  <c r="A17" i="15" s="1"/>
  <c r="A18" i="15" s="1"/>
  <c r="A19" i="15" s="1"/>
  <c r="A20" i="15" s="1"/>
  <c r="A21" i="15" s="1"/>
  <c r="A22" i="15" s="1"/>
  <c r="A23" i="15" s="1"/>
  <c r="A24" i="15" s="1"/>
  <c r="A25" i="15" s="1"/>
  <c r="A26" i="15" s="1"/>
  <c r="A27" i="15" s="1"/>
  <c r="A28" i="15" s="1"/>
  <c r="A29" i="15" s="1"/>
  <c r="A30" i="15" s="1"/>
  <c r="A31" i="15" s="1"/>
  <c r="A32" i="15" s="1"/>
  <c r="A33" i="15" s="1"/>
  <c r="A34" i="15" s="1"/>
  <c r="B68" i="2"/>
  <c r="B4" i="11" s="1"/>
  <c r="B69" i="2"/>
  <c r="B5" i="11" s="1"/>
  <c r="B70" i="2"/>
  <c r="B6" i="11" s="1"/>
  <c r="B71" i="2"/>
  <c r="B7" i="11" s="1"/>
  <c r="B72" i="2"/>
  <c r="B8" i="11" s="1"/>
  <c r="B73" i="2"/>
  <c r="B9" i="11" s="1"/>
  <c r="B74" i="2"/>
  <c r="B10" i="11" s="1"/>
  <c r="B75" i="2"/>
  <c r="B11" i="11" s="1"/>
  <c r="B76" i="2"/>
  <c r="B12" i="11" s="1"/>
  <c r="B77" i="2"/>
  <c r="B13" i="11" s="1"/>
  <c r="B78" i="2"/>
  <c r="B14" i="11" s="1"/>
  <c r="B79" i="2"/>
  <c r="B15" i="11" s="1"/>
  <c r="B80" i="2"/>
  <c r="B16" i="11" s="1"/>
  <c r="B81" i="2"/>
  <c r="B17" i="11" s="1"/>
  <c r="B82" i="2"/>
  <c r="B18" i="11" s="1"/>
  <c r="B83" i="2"/>
  <c r="B19" i="11" s="1"/>
  <c r="B84" i="2"/>
  <c r="B20" i="11" s="1"/>
  <c r="A66" i="2" l="1"/>
  <c r="C2" i="11" s="1"/>
  <c r="A67" i="2" l="1"/>
  <c r="C3" i="11" s="1"/>
  <c r="A68" i="2" l="1"/>
  <c r="C4" i="11" s="1"/>
  <c r="C70" i="2" l="1"/>
  <c r="C69" i="2"/>
  <c r="C75" i="2"/>
  <c r="C82" i="2"/>
  <c r="C81" i="2"/>
  <c r="C72" i="2"/>
  <c r="C85" i="2"/>
  <c r="C73" i="2"/>
  <c r="C66" i="2"/>
  <c r="D66" i="2" s="1"/>
  <c r="C77" i="2"/>
  <c r="C68" i="2"/>
  <c r="C84" i="2"/>
  <c r="C67" i="2"/>
  <c r="C79" i="2"/>
  <c r="C71" i="2"/>
  <c r="C83" i="2"/>
  <c r="C80" i="2"/>
  <c r="C78" i="2"/>
  <c r="A14" i="11" s="1"/>
  <c r="C74" i="2"/>
  <c r="C76" i="2"/>
  <c r="A69" i="2"/>
  <c r="C5" i="11" s="1"/>
  <c r="D67" i="2" l="1"/>
  <c r="D3" i="11" s="1"/>
  <c r="D73" i="2"/>
  <c r="A9" i="11"/>
  <c r="D68" i="2"/>
  <c r="A4" i="11"/>
  <c r="D76" i="2"/>
  <c r="A12" i="11"/>
  <c r="D75" i="2"/>
  <c r="A11" i="11"/>
  <c r="D84" i="2"/>
  <c r="A20" i="11"/>
  <c r="D2" i="11"/>
  <c r="A2" i="11"/>
  <c r="D74" i="2"/>
  <c r="A10" i="11"/>
  <c r="D72" i="2"/>
  <c r="A8" i="11"/>
  <c r="D80" i="2"/>
  <c r="A16" i="11"/>
  <c r="D83" i="2"/>
  <c r="A19" i="11"/>
  <c r="D79" i="2"/>
  <c r="A15" i="11"/>
  <c r="D69" i="2"/>
  <c r="A5" i="11"/>
  <c r="D77" i="2"/>
  <c r="A13" i="11"/>
  <c r="D85" i="2"/>
  <c r="D21" i="11" s="1"/>
  <c r="A21" i="11"/>
  <c r="D78" i="2"/>
  <c r="D81" i="2"/>
  <c r="A17" i="11"/>
  <c r="D82" i="2"/>
  <c r="A18" i="11"/>
  <c r="D71" i="2"/>
  <c r="A7" i="11"/>
  <c r="D70" i="2"/>
  <c r="A6" i="11"/>
  <c r="A70" i="2"/>
  <c r="C6" i="11" s="1"/>
  <c r="C36" i="15"/>
  <c r="E69" i="2" l="1"/>
  <c r="D5" i="11"/>
  <c r="E82" i="2"/>
  <c r="D18" i="11"/>
  <c r="E83" i="2"/>
  <c r="D19" i="11"/>
  <c r="E71" i="2"/>
  <c r="D7" i="11"/>
  <c r="E75" i="2"/>
  <c r="D11" i="11"/>
  <c r="E80" i="2"/>
  <c r="D16" i="11"/>
  <c r="E68" i="2"/>
  <c r="D4" i="11"/>
  <c r="E79" i="2"/>
  <c r="D15" i="11"/>
  <c r="E81" i="2"/>
  <c r="D17" i="11"/>
  <c r="E78" i="2"/>
  <c r="D14" i="11"/>
  <c r="E76" i="2"/>
  <c r="D12" i="11"/>
  <c r="E72" i="2"/>
  <c r="D8" i="11"/>
  <c r="E84" i="2"/>
  <c r="D20" i="11"/>
  <c r="E66" i="2"/>
  <c r="E70" i="2"/>
  <c r="D6" i="11"/>
  <c r="E77" i="2"/>
  <c r="D13" i="11"/>
  <c r="E74" i="2"/>
  <c r="D10" i="11"/>
  <c r="E73" i="2"/>
  <c r="D9" i="11"/>
  <c r="A71" i="2"/>
  <c r="C7" i="11" s="1"/>
  <c r="B85" i="2"/>
  <c r="B21" i="11" s="1"/>
  <c r="B67" i="2"/>
  <c r="B3" i="11" s="1"/>
  <c r="F72" i="2" l="1"/>
  <c r="E8" i="11"/>
  <c r="F76" i="2"/>
  <c r="E12" i="11"/>
  <c r="F73" i="2"/>
  <c r="E9" i="11"/>
  <c r="F70" i="2"/>
  <c r="E6" i="11"/>
  <c r="F74" i="2"/>
  <c r="E10" i="11"/>
  <c r="F71" i="2"/>
  <c r="E7" i="11"/>
  <c r="F82" i="2"/>
  <c r="E18" i="11"/>
  <c r="F80" i="2"/>
  <c r="E16" i="11"/>
  <c r="F77" i="2"/>
  <c r="E13" i="11"/>
  <c r="F83" i="2"/>
  <c r="E19" i="11"/>
  <c r="F79" i="2"/>
  <c r="E15" i="11"/>
  <c r="F75" i="2"/>
  <c r="E11" i="11"/>
  <c r="F78" i="2"/>
  <c r="E14" i="11"/>
  <c r="F81" i="2"/>
  <c r="E17" i="11"/>
  <c r="F66" i="2"/>
  <c r="E2" i="11"/>
  <c r="E20" i="11"/>
  <c r="F84" i="2"/>
  <c r="L83" i="2" s="1"/>
  <c r="F68" i="2"/>
  <c r="E4" i="11"/>
  <c r="F69" i="2"/>
  <c r="E5" i="11"/>
  <c r="A72" i="2"/>
  <c r="C8" i="11" s="1"/>
  <c r="F4" i="11" l="1"/>
  <c r="L67" i="2"/>
  <c r="F5" i="11"/>
  <c r="L68" i="2"/>
  <c r="F6" i="11"/>
  <c r="L69" i="2"/>
  <c r="F19" i="11"/>
  <c r="L82" i="2"/>
  <c r="F13" i="11"/>
  <c r="L76" i="2"/>
  <c r="F12" i="11"/>
  <c r="L75" i="2"/>
  <c r="F11" i="11"/>
  <c r="L74" i="2"/>
  <c r="F10" i="11"/>
  <c r="L73" i="2"/>
  <c r="F2" i="11"/>
  <c r="L65" i="2"/>
  <c r="F16" i="11"/>
  <c r="L79" i="2"/>
  <c r="F7" i="11"/>
  <c r="L70" i="2"/>
  <c r="F15" i="11"/>
  <c r="L78" i="2"/>
  <c r="F9" i="11"/>
  <c r="L72" i="2"/>
  <c r="F17" i="11"/>
  <c r="L80" i="2"/>
  <c r="F14" i="11"/>
  <c r="L77" i="2"/>
  <c r="F18" i="11"/>
  <c r="L81" i="2"/>
  <c r="F8" i="11"/>
  <c r="L71" i="2"/>
  <c r="F20" i="11"/>
  <c r="A73" i="2"/>
  <c r="C9" i="11" s="1"/>
  <c r="Q3" i="11"/>
  <c r="A74" i="2" l="1"/>
  <c r="C10" i="11" s="1"/>
  <c r="F10" i="3"/>
  <c r="F9" i="3"/>
  <c r="F8" i="3"/>
  <c r="F7" i="3"/>
  <c r="F6" i="3"/>
  <c r="C13" i="3"/>
  <c r="C12" i="3"/>
  <c r="C11" i="3"/>
  <c r="C10" i="3"/>
  <c r="C9" i="3"/>
  <c r="C8" i="3"/>
  <c r="C7" i="3"/>
  <c r="G66" i="2" s="1"/>
  <c r="H66" i="2" s="1"/>
  <c r="C6" i="3"/>
  <c r="G81" i="2" l="1"/>
  <c r="H81" i="2" s="1"/>
  <c r="G83" i="2"/>
  <c r="H83" i="2" s="1"/>
  <c r="G71" i="2"/>
  <c r="H71" i="2" s="1"/>
  <c r="G75" i="2"/>
  <c r="H75" i="2" s="1"/>
  <c r="G77" i="2"/>
  <c r="H77" i="2" s="1"/>
  <c r="G79" i="2"/>
  <c r="H79" i="2" s="1"/>
  <c r="G73" i="2"/>
  <c r="H73" i="2" s="1"/>
  <c r="G69" i="2"/>
  <c r="H69" i="2" s="1"/>
  <c r="A75" i="2"/>
  <c r="C11" i="11" s="1"/>
  <c r="I73" i="2" l="1"/>
  <c r="H9" i="11" s="1"/>
  <c r="I9" i="11" s="1"/>
  <c r="G9" i="11"/>
  <c r="I77" i="2"/>
  <c r="H13" i="11" s="1"/>
  <c r="I13" i="11" s="1"/>
  <c r="G13" i="11"/>
  <c r="I69" i="2"/>
  <c r="H5" i="11" s="1"/>
  <c r="I5" i="11" s="1"/>
  <c r="G5" i="11"/>
  <c r="I75" i="2"/>
  <c r="H11" i="11" s="1"/>
  <c r="I11" i="11" s="1"/>
  <c r="G11" i="11"/>
  <c r="I83" i="2"/>
  <c r="H19" i="11" s="1"/>
  <c r="I19" i="11" s="1"/>
  <c r="G19" i="11"/>
  <c r="I81" i="2"/>
  <c r="H17" i="11" s="1"/>
  <c r="I17" i="11" s="1"/>
  <c r="G17" i="11"/>
  <c r="I79" i="2"/>
  <c r="H15" i="11" s="1"/>
  <c r="I15" i="11" s="1"/>
  <c r="G15" i="11"/>
  <c r="I71" i="2"/>
  <c r="H7" i="11" s="1"/>
  <c r="I7" i="11" s="1"/>
  <c r="G7" i="11"/>
  <c r="A76" i="2"/>
  <c r="C12" i="11" s="1"/>
  <c r="O3" i="11"/>
  <c r="A77" i="2" l="1"/>
  <c r="C13" i="11" s="1"/>
  <c r="A78" i="2" l="1"/>
  <c r="C14" i="11" s="1"/>
  <c r="R3" i="11"/>
  <c r="L3" i="11" s="1"/>
  <c r="A79" i="2" l="1"/>
  <c r="C15" i="11" s="1"/>
  <c r="L5" i="11"/>
  <c r="L7" i="11"/>
  <c r="A80" i="2" l="1"/>
  <c r="C16" i="11" s="1"/>
  <c r="A81" i="2" l="1"/>
  <c r="C17" i="11" s="1"/>
  <c r="A82" i="2" l="1"/>
  <c r="C18" i="11" s="1"/>
  <c r="A83" i="2" l="1"/>
  <c r="C19" i="11" s="1"/>
  <c r="A85" i="2" l="1"/>
  <c r="C21" i="11" s="1"/>
  <c r="A84" i="2"/>
  <c r="C20" i="11" s="1"/>
  <c r="A3" i="11" l="1"/>
  <c r="E67" i="2" l="1"/>
  <c r="E85" i="2"/>
  <c r="E21" i="11" l="1"/>
  <c r="F85" i="2"/>
  <c r="L84" i="2" s="1"/>
  <c r="F67" i="2"/>
  <c r="E3" i="11"/>
  <c r="G78" i="2"/>
  <c r="H78" i="2" s="1"/>
  <c r="G82" i="2"/>
  <c r="H82" i="2" s="1"/>
  <c r="G70" i="2"/>
  <c r="H70" i="2" s="1"/>
  <c r="I61" i="2" l="1"/>
  <c r="K61" i="2"/>
  <c r="L66" i="2"/>
  <c r="G67" i="2" s="1"/>
  <c r="H67" i="2" s="1"/>
  <c r="F3" i="11"/>
  <c r="G85" i="2"/>
  <c r="F21" i="11"/>
  <c r="I70" i="2"/>
  <c r="H6" i="11" s="1"/>
  <c r="I6" i="11" s="1"/>
  <c r="G6" i="11"/>
  <c r="I78" i="2"/>
  <c r="H14" i="11" s="1"/>
  <c r="I14" i="11" s="1"/>
  <c r="G14" i="11"/>
  <c r="I82" i="2"/>
  <c r="H18" i="11" s="1"/>
  <c r="I18" i="11" s="1"/>
  <c r="G18" i="11"/>
  <c r="G68" i="2"/>
  <c r="H68" i="2" s="1"/>
  <c r="G76" i="2"/>
  <c r="H76" i="2" s="1"/>
  <c r="G80" i="2"/>
  <c r="H80" i="2" s="1"/>
  <c r="G74" i="2"/>
  <c r="H74" i="2" s="1"/>
  <c r="G72" i="2"/>
  <c r="H72" i="2" s="1"/>
  <c r="G21" i="11" l="1"/>
  <c r="H85" i="2"/>
  <c r="I85" i="2" s="1"/>
  <c r="H21" i="11" s="1"/>
  <c r="I21" i="11" s="1"/>
  <c r="I67" i="2"/>
  <c r="H3" i="11" s="1"/>
  <c r="I3" i="11" s="1"/>
  <c r="G3" i="11"/>
  <c r="G84" i="2"/>
  <c r="I68" i="2"/>
  <c r="H4" i="11" s="1"/>
  <c r="I4" i="11" s="1"/>
  <c r="G4" i="11"/>
  <c r="I72" i="2"/>
  <c r="H8" i="11" s="1"/>
  <c r="I8" i="11" s="1"/>
  <c r="G8" i="11"/>
  <c r="I66" i="2"/>
  <c r="G2" i="11"/>
  <c r="I74" i="2"/>
  <c r="H10" i="11" s="1"/>
  <c r="I10" i="11" s="1"/>
  <c r="G10" i="11"/>
  <c r="I80" i="2"/>
  <c r="H16" i="11" s="1"/>
  <c r="I16" i="11" s="1"/>
  <c r="G16" i="11"/>
  <c r="I76" i="2"/>
  <c r="H12" i="11" s="1"/>
  <c r="I12" i="11" s="1"/>
  <c r="G12" i="11"/>
  <c r="G20" i="11" l="1"/>
  <c r="H84" i="2"/>
  <c r="I84" i="2" s="1"/>
  <c r="H20" i="11" s="1"/>
  <c r="I20" i="11" s="1"/>
  <c r="K66" i="2"/>
  <c r="H2" i="11"/>
  <c r="I2" i="11" s="1"/>
  <c r="K67" i="2" l="1"/>
  <c r="J2" i="11"/>
  <c r="J3" i="11" l="1"/>
  <c r="K68" i="2"/>
  <c r="K69" i="2" l="1"/>
  <c r="J4" i="11"/>
  <c r="K70" i="2" l="1"/>
  <c r="J5" i="11"/>
  <c r="K71" i="2" l="1"/>
  <c r="J6" i="11"/>
  <c r="K72" i="2" l="1"/>
  <c r="J7" i="11"/>
  <c r="K73" i="2" l="1"/>
  <c r="J8" i="11"/>
  <c r="K74" i="2" l="1"/>
  <c r="J9" i="11"/>
  <c r="K75" i="2" l="1"/>
  <c r="J10" i="11"/>
  <c r="K76" i="2" l="1"/>
  <c r="J11" i="11"/>
  <c r="K77" i="2" l="1"/>
  <c r="J12" i="11"/>
  <c r="K78" i="2" l="1"/>
  <c r="J13" i="11"/>
  <c r="K79" i="2" l="1"/>
  <c r="J14" i="11"/>
  <c r="K80" i="2" l="1"/>
  <c r="J15" i="11"/>
  <c r="K81" i="2" l="1"/>
  <c r="J16" i="11"/>
  <c r="K82" i="2" l="1"/>
  <c r="J17" i="11"/>
  <c r="K83" i="2" l="1"/>
  <c r="K84" i="2" s="1"/>
  <c r="J18" i="11"/>
  <c r="J19" i="11" l="1"/>
  <c r="K85" i="2" l="1"/>
  <c r="J20" i="11"/>
  <c r="J21" i="11" l="1"/>
  <c r="N11" i="11" s="1"/>
  <c r="L11" i="11" s="1"/>
  <c r="C61" i="2"/>
  <c r="C5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Shad Hussain</author>
    <author>Christy Graham</author>
    <author>Tim Van Seters</author>
  </authors>
  <commentList>
    <comment ref="B13" authorId="0" shapeId="0" xr:uid="{00000000-0006-0000-0000-000001000000}">
      <text>
        <r>
          <rPr>
            <b/>
            <sz val="9"/>
            <color indexed="81"/>
            <rFont val="Arial Narrow"/>
            <family val="2"/>
          </rPr>
          <t>Choose ONE of two alternatives</t>
        </r>
        <r>
          <rPr>
            <sz val="9"/>
            <color indexed="81"/>
            <rFont val="Arial Narrow"/>
            <family val="2"/>
          </rPr>
          <t xml:space="preserve">
Rationale to be supported by SWM Plan/Report.  Note that OGS do not achieve 80% TSS removal and therefore are only accepted as stand-alone devices under extenuating circumstances.</t>
        </r>
      </text>
    </comment>
    <comment ref="B17" authorId="0" shapeId="0" xr:uid="{00000000-0006-0000-0000-000002000000}">
      <text>
        <r>
          <rPr>
            <b/>
            <sz val="9"/>
            <color indexed="81"/>
            <rFont val="Arial Narrow"/>
            <family val="2"/>
          </rPr>
          <t xml:space="preserve">Minimum MTD TSS Removal Requirement - </t>
        </r>
        <r>
          <rPr>
            <sz val="9"/>
            <color indexed="81"/>
            <rFont val="Arial Narrow"/>
            <family val="2"/>
          </rPr>
          <t xml:space="preserve">To be based on SWM plan and MTD application to meet Water Quality Control Target for the site.  
</t>
        </r>
        <r>
          <rPr>
            <i/>
            <sz val="9"/>
            <color indexed="81"/>
            <rFont val="Arial Narrow"/>
            <family val="2"/>
          </rPr>
          <t>Provide rationale and support in SWM Report</t>
        </r>
      </text>
    </comment>
    <comment ref="F17" authorId="0" shapeId="0" xr:uid="{00000000-0006-0000-0000-000003000000}">
      <text>
        <r>
          <rPr>
            <b/>
            <sz val="9"/>
            <color indexed="81"/>
            <rFont val="Arial Narrow"/>
            <family val="2"/>
          </rPr>
          <t>Indicate if project land-use requires oil retention</t>
        </r>
      </text>
    </comment>
    <comment ref="C19" authorId="0" shapeId="0" xr:uid="{00000000-0006-0000-0000-000004000000}">
      <text>
        <r>
          <rPr>
            <sz val="9"/>
            <color indexed="81"/>
            <rFont val="Arial Narrow"/>
            <family val="2"/>
          </rPr>
          <t>Provide supporting drawings/schematic with catchment area and percentage imperviousness</t>
        </r>
      </text>
    </comment>
    <comment ref="B22" authorId="0" shapeId="0" xr:uid="{00000000-0006-0000-0000-000005000000}">
      <text>
        <r>
          <rPr>
            <b/>
            <sz val="9"/>
            <color indexed="81"/>
            <rFont val="Tahoma"/>
            <family val="2"/>
          </rPr>
          <t>Calculates Weighted Average Runoff Coefficient</t>
        </r>
        <r>
          <rPr>
            <sz val="9"/>
            <color indexed="81"/>
            <rFont val="Tahoma"/>
            <family val="2"/>
          </rPr>
          <t xml:space="preserve">
C = 0.9 for Impervious Surfaces
C = 0.3 for Pervious Surfaces (Clay Soil - Type D)</t>
        </r>
      </text>
    </comment>
    <comment ref="C24" authorId="0" shapeId="0" xr:uid="{00000000-0006-0000-0000-000006000000}">
      <text>
        <r>
          <rPr>
            <b/>
            <sz val="9"/>
            <color indexed="81"/>
            <rFont val="Arial Rounded MT Bold"/>
            <family val="2"/>
          </rPr>
          <t>Manufacturers are encouraged to make information regarding OGS dimensions for all tested and scaled models readily available online</t>
        </r>
        <r>
          <rPr>
            <sz val="9"/>
            <color indexed="81"/>
            <rFont val="Tahoma"/>
            <family val="2"/>
          </rPr>
          <t xml:space="preserve">
</t>
        </r>
      </text>
    </comment>
    <comment ref="B26" authorId="0" shapeId="0" xr:uid="{00000000-0006-0000-0000-000007000000}">
      <text>
        <r>
          <rPr>
            <sz val="9"/>
            <color indexed="81"/>
            <rFont val="Arial Narrow"/>
            <family val="2"/>
          </rPr>
          <t xml:space="preserve">1) MTD to be tested and verified through ISO 14034 based on the TRCA's Canadian </t>
        </r>
        <r>
          <rPr>
            <i/>
            <sz val="9"/>
            <color indexed="81"/>
            <rFont val="Arial Narrow"/>
            <family val="2"/>
          </rPr>
          <t>Procedure for Laboratory Testing of OGS</t>
        </r>
        <r>
          <rPr>
            <sz val="9"/>
            <color indexed="81"/>
            <rFont val="Arial Narrow"/>
            <family val="2"/>
          </rPr>
          <t xml:space="preserve">
2) ISO verification statement to be current and valid at the time of submission
</t>
        </r>
      </text>
    </comment>
    <comment ref="F32" authorId="1" shapeId="0" xr:uid="{70E746D6-3ACA-4A81-A6F6-5CA6C5EB9FBA}">
      <text>
        <r>
          <rPr>
            <b/>
            <sz val="9"/>
            <color indexed="81"/>
            <rFont val="Tahoma"/>
            <family val="2"/>
          </rPr>
          <t xml:space="preserve">Surface Area (m2) = Effective sedimentation area
</t>
        </r>
        <r>
          <rPr>
            <i/>
            <sz val="9"/>
            <color indexed="81"/>
            <rFont val="Tahoma"/>
            <family val="2"/>
          </rPr>
          <t>Calculated based on internal diameter of the unit.</t>
        </r>
        <r>
          <rPr>
            <sz val="9"/>
            <color indexed="81"/>
            <rFont val="Tahoma"/>
            <family val="2"/>
          </rPr>
          <t xml:space="preserve">
</t>
        </r>
      </text>
    </comment>
    <comment ref="G32" authorId="0" shapeId="0" xr:uid="{00000000-0006-0000-0000-000008000000}">
      <text>
        <r>
          <rPr>
            <b/>
            <sz val="9"/>
            <color indexed="81"/>
            <rFont val="Tahoma"/>
            <family val="2"/>
          </rPr>
          <t xml:space="preserve">Chamber Depth = Chamber depth measured from the outlet invert to the bottom of the unit
</t>
        </r>
        <r>
          <rPr>
            <i/>
            <sz val="9"/>
            <color indexed="81"/>
            <rFont val="Tahoma"/>
            <family val="2"/>
          </rPr>
          <t xml:space="preserve">Used to check if the proposed model meets the scaling rule
</t>
        </r>
      </text>
    </comment>
    <comment ref="H32" authorId="0" shapeId="0" xr:uid="{00000000-0006-0000-0000-000009000000}">
      <text>
        <r>
          <rPr>
            <b/>
            <sz val="9"/>
            <color indexed="81"/>
            <rFont val="Tahoma"/>
            <family val="2"/>
          </rPr>
          <t>Manufacturer Recommended Sediment Accumulation Depth</t>
        </r>
        <r>
          <rPr>
            <sz val="9"/>
            <color indexed="81"/>
            <rFont val="Tahoma"/>
            <family val="2"/>
          </rPr>
          <t xml:space="preserve">
</t>
        </r>
        <r>
          <rPr>
            <i/>
            <sz val="9"/>
            <color indexed="81"/>
            <rFont val="Tahoma"/>
            <family val="2"/>
          </rPr>
          <t xml:space="preserve">
Measured from bottom of device to manufacturer recommended sediment cleanout depth</t>
        </r>
      </text>
    </comment>
    <comment ref="K32" authorId="1" shapeId="0" xr:uid="{F1C145B3-9404-49C4-BA39-2F2CFA98691F}">
      <text>
        <r>
          <rPr>
            <b/>
            <sz val="9"/>
            <color indexed="81"/>
            <rFont val="Tahoma"/>
            <family val="2"/>
          </rPr>
          <t xml:space="preserve">Depth Proportionality: Depth of the proposed unit compared to the tested unit.
</t>
        </r>
        <r>
          <rPr>
            <i/>
            <sz val="9"/>
            <color indexed="81"/>
            <rFont val="Tahoma"/>
            <family val="2"/>
          </rPr>
          <t>Must be greater than 85% to meet the scaling rule</t>
        </r>
      </text>
    </comment>
    <comment ref="B34" authorId="2" shapeId="0" xr:uid="{0F7DBFC6-CA00-4F7C-A9D1-2107687A2D2C}">
      <text>
        <r>
          <rPr>
            <b/>
            <sz val="9"/>
            <color indexed="81"/>
            <rFont val="Tahoma"/>
            <family val="2"/>
          </rPr>
          <t xml:space="preserve">Scaling
</t>
        </r>
        <r>
          <rPr>
            <sz val="9"/>
            <color indexed="81"/>
            <rFont val="Tahoma"/>
            <family val="2"/>
          </rPr>
          <t xml:space="preserve">For selected OGS models that are smaller or larger than the verified unit, the selected OGS will meet scaling provisions described in Section 8.0 of TRCA's </t>
        </r>
        <r>
          <rPr>
            <i/>
            <sz val="9"/>
            <color indexed="81"/>
            <rFont val="Tahoma"/>
            <family val="2"/>
          </rPr>
          <t>Canadian Procedure for Laboratory Testing of OGS</t>
        </r>
        <r>
          <rPr>
            <sz val="9"/>
            <color indexed="81"/>
            <rFont val="Tahoma"/>
            <family val="2"/>
          </rPr>
          <t xml:space="preserve">.  
</t>
        </r>
      </text>
    </comment>
    <comment ref="K34" authorId="1" shapeId="0" xr:uid="{177FA9D0-DAB0-412C-9F62-FA3B7A2C7682}">
      <text>
        <r>
          <rPr>
            <b/>
            <sz val="9"/>
            <color indexed="81"/>
            <rFont val="Tahoma"/>
            <family val="2"/>
          </rPr>
          <t xml:space="preserve">Value needs to be greater than 85% to meet the scaling rule.
</t>
        </r>
      </text>
    </comment>
    <comment ref="C36" authorId="1" shapeId="0" xr:uid="{C7286926-5607-46B8-89D3-EE6FB5C6F135}">
      <text>
        <r>
          <rPr>
            <b/>
            <sz val="9"/>
            <color indexed="81"/>
            <rFont val="Tahoma"/>
            <family val="2"/>
          </rPr>
          <t xml:space="preserve">ISO 14034: ETV Verified Test Results cannot be applied to units that are not scaled appropriately.
</t>
        </r>
        <r>
          <rPr>
            <sz val="9"/>
            <color indexed="81"/>
            <rFont val="Tahoma"/>
            <family val="2"/>
          </rPr>
          <t>The similar MTD is scaled geometrically proportional to the tested unit in all inside dimensions of length and width and a minimum of 85% proportional in depth, where the depth dimension is measured from the outlet pipe invert to the floor of the unit.</t>
        </r>
        <r>
          <rPr>
            <b/>
            <sz val="9"/>
            <color indexed="81"/>
            <rFont val="Tahoma"/>
            <family val="2"/>
          </rPr>
          <t xml:space="preserve">
</t>
        </r>
        <r>
          <rPr>
            <i/>
            <sz val="9"/>
            <color indexed="81"/>
            <rFont val="Tahoma"/>
            <family val="2"/>
          </rPr>
          <t>The calculation checks that the diameter to chamber depth ratio of the proposed unit is greater than 85% of the tested unit's diameter to chamber depth ratio</t>
        </r>
      </text>
    </comment>
    <comment ref="C38" authorId="0" shapeId="0" xr:uid="{00000000-0006-0000-0000-00000A000000}">
      <text>
        <r>
          <rPr>
            <b/>
            <sz val="9"/>
            <color indexed="81"/>
            <rFont val="Tahoma"/>
            <family val="2"/>
          </rPr>
          <t xml:space="preserve">Only test results reported under ISO14034:ETV verification statements will be accepted for the requested input SLRs. 
</t>
        </r>
        <r>
          <rPr>
            <i/>
            <sz val="9"/>
            <color indexed="81"/>
            <rFont val="Tahoma"/>
            <family val="2"/>
          </rPr>
          <t>Test results can be found within the Verification Statements or at the clickable link designated as a question mark for Section 5</t>
        </r>
      </text>
    </comment>
    <comment ref="K41" authorId="2" shapeId="0" xr:uid="{BEAFABAB-B966-4CAE-9E58-E47EB8C617DE}">
      <text>
        <r>
          <rPr>
            <sz val="9"/>
            <color indexed="81"/>
            <rFont val="Tahoma"/>
            <family val="2"/>
          </rPr>
          <t xml:space="preserve">In the absence of an ISO14034 test result, the 1800 SLR shall be conservatively assigned an RE value of 0%. Note that the Procedure for Laboratory Testing of OGS requires testing of seven SLRs up to 1400 L/min/m2 with the option of testing higher SLRs.
</t>
        </r>
      </text>
    </comment>
    <comment ref="B42" authorId="0" shapeId="0" xr:uid="{00000000-0006-0000-0000-00000B000000}">
      <text>
        <r>
          <rPr>
            <b/>
            <sz val="9"/>
            <color indexed="81"/>
            <rFont val="Tahoma"/>
            <family val="2"/>
          </rPr>
          <t xml:space="preserve">Sediment removal efficiency shall be based on the removal rate by mass balance for all particle sizes from the ETV-tested PSD
</t>
        </r>
        <r>
          <rPr>
            <sz val="9"/>
            <color indexed="81"/>
            <rFont val="Tahoma"/>
            <family val="2"/>
          </rPr>
          <t xml:space="preserve">
Note:  The OGS Review Sheet uses linear interpolation to determine removal efficiencies between tested Surface Loading Rates (SLR).  Unless tested, the 1800 SLR is assigned a removal efficiency of 0% and linear interpolation is used to determine REs between 1400 and 1800 SLRs.    SLRs less than the lowest SLR tested are assigned a removal efficiency value equal to that achieved at the lowest SLR.
</t>
        </r>
      </text>
    </comment>
    <comment ref="B46" authorId="0" shapeId="0" xr:uid="{00000000-0006-0000-0000-00000C000000}">
      <text>
        <r>
          <rPr>
            <b/>
            <sz val="9"/>
            <color indexed="81"/>
            <rFont val="Tahoma"/>
            <family val="2"/>
          </rPr>
          <t xml:space="preserve">Adjusted effluent concentrations measured during the Scour Test, as provided in the ISO 14034 Verification Statement </t>
        </r>
      </text>
    </comment>
    <comment ref="G48" authorId="2" shapeId="0" xr:uid="{7A3976EC-0C86-40E6-B97A-5B7937D05CFE}">
      <text>
        <r>
          <rPr>
            <b/>
            <sz val="9"/>
            <color indexed="81"/>
            <rFont val="Tahoma"/>
            <family val="2"/>
          </rPr>
          <t>The rate at which inflows start to bypass the treatment chamber, as indicated in the ISO 14024 verification statement or technical evaluation report (the latter to be provided by vendor if applicable).  Value for information only (not used in performance calculations).</t>
        </r>
        <r>
          <rPr>
            <sz val="9"/>
            <color indexed="81"/>
            <rFont val="Tahoma"/>
            <family val="2"/>
          </rPr>
          <t xml:space="preserve">
</t>
        </r>
      </text>
    </comment>
    <comment ref="B54" authorId="0" shapeId="0" xr:uid="{00000000-0006-0000-0000-00000D000000}">
      <text>
        <r>
          <rPr>
            <b/>
            <sz val="9"/>
            <color indexed="81"/>
            <rFont val="Tahoma"/>
            <family val="2"/>
          </rPr>
          <t xml:space="preserve">Indicate the type of Internal By-Pass for the proposed unit.
</t>
        </r>
        <r>
          <rPr>
            <i/>
            <sz val="9"/>
            <color indexed="81"/>
            <rFont val="Tahoma"/>
            <family val="2"/>
          </rPr>
          <t xml:space="preserve">
Units with full internal bypass weirs ensure flows minimize contact with deposited sediment in the sump.  Units with partial bypass redirect flows within the unit and those with no bypass allow all flows to follow the same flowpath through the sump.  Units with partial or no bypass should be considered for offline installation, even if scour test results showed scour effluent concentrations less than 30 mg/L because flows higher than those tested have a high risk of resuspending captured sediment, particularly as sediment in the unit nears the maximum maintenance sediment depth.</t>
        </r>
      </text>
    </comment>
    <comment ref="F54" authorId="0" shapeId="0" xr:uid="{00000000-0006-0000-0000-00000E000000}">
      <text>
        <r>
          <rPr>
            <b/>
            <sz val="9"/>
            <color indexed="81"/>
            <rFont val="Tahoma"/>
            <family val="2"/>
          </rPr>
          <t xml:space="preserve">Indicate if installation is proposed for in-line or off-line configuration.  Units with an ISO14034 scour test result greater than 30 mg/L for any of the tested SLRs must be installed off-line.
</t>
        </r>
        <r>
          <rPr>
            <sz val="9"/>
            <color indexed="81"/>
            <rFont val="Tahoma"/>
            <family val="2"/>
          </rPr>
          <t xml:space="preserve">
Red values indicate that the tested unit exceeded 30 mg/L for at least one of the scour test flow rates.</t>
        </r>
      </text>
    </comment>
    <comment ref="B55" authorId="0" shapeId="0" xr:uid="{00000000-0006-0000-0000-00000F000000}">
      <text>
        <r>
          <rPr>
            <b/>
            <sz val="9"/>
            <color indexed="81"/>
            <rFont val="Tahoma"/>
            <family val="2"/>
          </rPr>
          <t xml:space="preserve">Indicate if upstream flow attenuation is proposed prior to entering MTD using storage and quantity control measures </t>
        </r>
      </text>
    </comment>
    <comment ref="F55" authorId="0" shapeId="0" xr:uid="{00000000-0006-0000-0000-000010000000}">
      <text>
        <r>
          <rPr>
            <b/>
            <sz val="9"/>
            <color indexed="81"/>
            <rFont val="Tahoma"/>
            <family val="2"/>
          </rPr>
          <t xml:space="preserve">If applicable, enter flow for most limiting of the following scenarios:
</t>
        </r>
        <r>
          <rPr>
            <sz val="9"/>
            <color indexed="81"/>
            <rFont val="Tahoma"/>
            <family val="2"/>
          </rPr>
          <t>1) Where OFF-LINE installation is proposed, enter maximum treatment flow to proposed MTD based on incoming sewer capacity from flow diversion structure to MTD. 
2) Where FLOW ATTENUATION is proposed, enter maximum treatment flow to MTD based on hydrologic modelling and flow routing through entire SWM system (including treatment train) using water quality design storm.
Provide all supporting drawings, details, hydrologic models and hydraulic calculations (incl. stage-storage-discharge curve for upstream storage structures) of upstream storage or other treatment train.</t>
        </r>
      </text>
    </comment>
    <comment ref="H55" authorId="1" shapeId="0" xr:uid="{25E01455-F3EE-405C-B139-1FBDE751F122}">
      <text>
        <r>
          <rPr>
            <b/>
            <sz val="9"/>
            <color indexed="81"/>
            <rFont val="Tahoma"/>
            <family val="2"/>
          </rPr>
          <t xml:space="preserve">Max Treatment Flow (L/s)
</t>
        </r>
        <r>
          <rPr>
            <sz val="9"/>
            <color indexed="81"/>
            <rFont val="Tahoma"/>
            <family val="2"/>
          </rPr>
          <t>i) When, Peak Runoff Flow [Column IV] &lt; Max Treatment Flow 
Design Flow = Peak Runoff Flow [Column IV]
ii) When, Peak Runoff Flow [Column IV] &gt;= Max Treatment Flow
Design Flow = Max Treatment Flow</t>
        </r>
      </text>
    </comment>
    <comment ref="B57" authorId="0" shapeId="0" xr:uid="{00000000-0006-0000-0000-000011000000}">
      <text>
        <r>
          <rPr>
            <b/>
            <sz val="9"/>
            <color indexed="81"/>
            <rFont val="Tahoma"/>
            <family val="2"/>
          </rPr>
          <t>Annual Storage Volume Requirement for Once a Year Cleanout [m3] 
= Satefy Factor * Annual TSS Removal [%] x EMC [mg/L] x Annual Precipitation [m] x Catchment Area [m2] x 1000 [L/m3]) / Wet Density [kg/m3] x 10^6 [mg/kg]</t>
        </r>
      </text>
    </comment>
    <comment ref="F57" authorId="0" shapeId="0" xr:uid="{00000000-0006-0000-0000-000012000000}">
      <text>
        <r>
          <rPr>
            <b/>
            <sz val="9"/>
            <color indexed="81"/>
            <rFont val="Tahoma"/>
            <family val="2"/>
          </rPr>
          <t xml:space="preserve">Based on volume of storage contained up to manufacturer recommended maximum sediment accumulation depth
</t>
        </r>
        <r>
          <rPr>
            <b/>
            <i/>
            <sz val="9"/>
            <color indexed="81"/>
            <rFont val="Tahoma"/>
            <family val="2"/>
          </rPr>
          <t xml:space="preserve">
</t>
        </r>
        <r>
          <rPr>
            <i/>
            <sz val="9"/>
            <color indexed="81"/>
            <rFont val="Tahoma"/>
            <family val="2"/>
          </rPr>
          <t xml:space="preserve">Red values indicate that the recommended maximum storage volume has been exceeded for the desired maintenance interval.  </t>
        </r>
      </text>
    </comment>
    <comment ref="C65" authorId="0" shapeId="0" xr:uid="{00000000-0006-0000-0000-000013000000}">
      <text>
        <r>
          <rPr>
            <b/>
            <sz val="9"/>
            <color indexed="81"/>
            <rFont val="Tahoma"/>
            <family val="2"/>
          </rPr>
          <t xml:space="preserve">Average Year Rainfall Volume-Intensity Analysis </t>
        </r>
        <r>
          <rPr>
            <sz val="9"/>
            <color indexed="81"/>
            <rFont val="Tahoma"/>
            <family val="2"/>
          </rPr>
          <t>[See Tab - Defaults]</t>
        </r>
      </text>
    </comment>
    <comment ref="D65" authorId="0" shapeId="0" xr:uid="{00000000-0006-0000-0000-000014000000}">
      <text>
        <r>
          <rPr>
            <b/>
            <sz val="9"/>
            <color indexed="81"/>
            <rFont val="Arial Narrow"/>
            <family val="2"/>
          </rPr>
          <t>Peak Runoff Flow = Runoff Coefficient x Design Rainfall Intensity [Column III] x Catchment Area</t>
        </r>
      </text>
    </comment>
    <comment ref="E65" authorId="0" shapeId="0" xr:uid="{00000000-0006-0000-0000-000015000000}">
      <text>
        <r>
          <rPr>
            <b/>
            <sz val="9"/>
            <color indexed="81"/>
            <rFont val="Arial Narrow"/>
            <family val="2"/>
          </rPr>
          <t xml:space="preserve">Rule 1 - If installed in-line with NO flow attenuation/reduction, </t>
        </r>
        <r>
          <rPr>
            <sz val="9"/>
            <color indexed="81"/>
            <rFont val="Arial Narrow"/>
            <family val="2"/>
          </rPr>
          <t xml:space="preserve">
Design Inflow to MTD = Peak Runoff Flow [Column IV]</t>
        </r>
        <r>
          <rPr>
            <b/>
            <sz val="9"/>
            <color indexed="81"/>
            <rFont val="Arial Narrow"/>
            <family val="2"/>
          </rPr>
          <t xml:space="preserve">
Rule 2 - If installed off-line OR WITH flow attenuation/reduction </t>
        </r>
        <r>
          <rPr>
            <sz val="9"/>
            <color indexed="81"/>
            <rFont val="Arial Narrow"/>
            <family val="2"/>
          </rPr>
          <t>[See Section 6]</t>
        </r>
        <r>
          <rPr>
            <b/>
            <sz val="9"/>
            <color indexed="81"/>
            <rFont val="Arial Narrow"/>
            <family val="2"/>
          </rPr>
          <t xml:space="preserve">, </t>
        </r>
        <r>
          <rPr>
            <sz val="9"/>
            <color indexed="81"/>
            <rFont val="Arial Narrow"/>
            <family val="2"/>
          </rPr>
          <t xml:space="preserve">
i) When, Peak Runoff Flow [Column IV] &lt; Max Treatment Flow 
Design Flow = Peak Runoff Flow [Column IV]
ii) When, Peak Runoff Flow [Column IV] &gt;= Max Treatment Flow
Design Flow = Max Treatment Flow</t>
        </r>
      </text>
    </comment>
    <comment ref="F65" authorId="0" shapeId="0" xr:uid="{00000000-0006-0000-0000-000016000000}">
      <text>
        <r>
          <rPr>
            <b/>
            <sz val="9"/>
            <color indexed="81"/>
            <rFont val="Arial Narrow"/>
            <family val="2"/>
          </rPr>
          <t>Design Surface Loading Rate (SLR) = Design Flow [Column V] / Proposed MTD Surface Area</t>
        </r>
      </text>
    </comment>
    <comment ref="G65" authorId="0" shapeId="0" xr:uid="{00000000-0006-0000-0000-000017000000}">
      <text>
        <r>
          <rPr>
            <b/>
            <sz val="9"/>
            <color indexed="81"/>
            <rFont val="Arial Narrow"/>
            <family val="2"/>
          </rPr>
          <t xml:space="preserve">Evaluated % TSS Removal for Design SLR interpolated from Tested % TSS Removal vs Tested SLR </t>
        </r>
        <r>
          <rPr>
            <sz val="9"/>
            <color indexed="81"/>
            <rFont val="Arial Narrow"/>
            <family val="2"/>
          </rPr>
          <t>[See Section 5]</t>
        </r>
        <r>
          <rPr>
            <b/>
            <sz val="9"/>
            <color indexed="81"/>
            <rFont val="Arial Narrow"/>
            <family val="2"/>
          </rPr>
          <t xml:space="preserve">
</t>
        </r>
        <r>
          <rPr>
            <sz val="9"/>
            <color indexed="81"/>
            <rFont val="Arial Narrow"/>
            <family val="2"/>
          </rPr>
          <t xml:space="preserve">
Exception Rule 1 - For Design SLR &lt; Min Tested SLR, Evaluated TSS Removal = TSS Removal at Min Tested SLR
Exception Rule 2 - For Design SLR &gt; Max Tested SLR, 
Evaluated TSS Removal = Max Tested SLR * Minimum Tested TSS Removal / Design SLR, assuming 0% removal for all Design SLR in excess of the Maximum Tested SLR</t>
        </r>
      </text>
    </comment>
    <comment ref="H65" authorId="0" shapeId="0" xr:uid="{00000000-0006-0000-0000-000018000000}">
      <text>
        <r>
          <rPr>
            <b/>
            <sz val="9"/>
            <color indexed="81"/>
            <rFont val="Arial Narrow"/>
            <family val="2"/>
          </rPr>
          <t>Applies only for OFF-LINE configuration:</t>
        </r>
        <r>
          <rPr>
            <sz val="9"/>
            <color indexed="81"/>
            <rFont val="Arial Narrow"/>
            <family val="2"/>
          </rPr>
          <t xml:space="preserve">
Rule 1 - when Treatment Inflow [Column V] = Peak Runoff Flow [Column IV], 
Off-line % TSS Removal = Evaluated % TSS Removal [Column VII]
Rule 2 - when Design Flow [Column V] &lt; Peak Runoff Flow [Column IV], 
Off-line % TSS Removal = Evaluated % TSS Removal [Column VII] x Design Flow [Column V] / Peak Runoff Flow [Column IV]</t>
        </r>
      </text>
    </comment>
    <comment ref="I65" authorId="0" shapeId="0" xr:uid="{00000000-0006-0000-0000-000019000000}">
      <text>
        <r>
          <rPr>
            <b/>
            <sz val="9"/>
            <color indexed="81"/>
            <rFont val="Arial Narrow"/>
            <family val="2"/>
          </rPr>
          <t>Incremental % TSS Removal = % Weight Rainfall Volume [Column II] x Evaluated % TSS Removal Performance [Column VII]</t>
        </r>
      </text>
    </comment>
    <comment ref="B89" authorId="0" shapeId="0" xr:uid="{00000000-0006-0000-0000-00001A000000}">
      <text>
        <r>
          <rPr>
            <b/>
            <sz val="9"/>
            <color indexed="81"/>
            <rFont val="Arial Narrow"/>
            <family val="2"/>
          </rPr>
          <t>Licensed Professional Engineer in Ontario responsible for preparation of SWM Plan/Report for project site</t>
        </r>
        <r>
          <rPr>
            <sz val="10"/>
            <color indexed="81"/>
            <rFont val="Arial Rounded MT Bold"/>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Christy Graham</author>
    <author>Tim Van Seters</author>
    <author>Shad Hussain</author>
  </authors>
  <commentList>
    <comment ref="A6" authorId="0" shapeId="0" xr:uid="{9712D50E-A79B-4540-9DBA-215AB2D6B687}">
      <text>
        <r>
          <rPr>
            <sz val="9"/>
            <color indexed="81"/>
            <rFont val="Arial Narrow"/>
            <family val="2"/>
          </rPr>
          <t>Barrie data uses an Initial Abstraction of 2mm after a 12 hour dry period and adds 15 % for clime change in their rainfall analysis.
All other data sets removed rainfall amounts less than 1.0 mm in their rainfall analysis.</t>
        </r>
      </text>
    </comment>
    <comment ref="A7" authorId="0" shapeId="0" xr:uid="{639B5D17-5C9F-4E91-99A5-638F7FBA2E59}">
      <text>
        <r>
          <rPr>
            <sz val="9"/>
            <color indexed="81"/>
            <rFont val="Arial Narrow"/>
            <family val="2"/>
          </rPr>
          <t>Rainfall analysis excluded winter months.  Data included from May 1 - October 31 for each year when available.</t>
        </r>
      </text>
    </comment>
    <comment ref="C7" authorId="1" shapeId="0" xr:uid="{9995FFD8-9A2F-43AF-8B43-6A686F5BD162}">
      <text>
        <r>
          <rPr>
            <sz val="9"/>
            <color indexed="81"/>
            <rFont val="Tahoma"/>
            <family val="2"/>
          </rPr>
          <t>Data from May 1 to Oct 31</t>
        </r>
      </text>
    </comment>
    <comment ref="A9" authorId="0" shapeId="0" xr:uid="{8564B7B2-75BD-4BFF-A47E-9D178BF84E05}">
      <text>
        <r>
          <rPr>
            <sz val="9"/>
            <color indexed="81"/>
            <rFont val="Arial Narrow"/>
            <family val="2"/>
          </rPr>
          <t>Users choosing the Barrie data have 4 options for Analysis Intervals. Uses should use the data with the Analysis Interval closest to the Time of Concentration.</t>
        </r>
        <r>
          <rPr>
            <sz val="9"/>
            <color indexed="81"/>
            <rFont val="Tahoma"/>
            <family val="2"/>
          </rPr>
          <t xml:space="preserve">
</t>
        </r>
      </text>
    </comment>
    <comment ref="B11" authorId="1" shapeId="0" xr:uid="{0064D68C-B948-4D98-99D4-1AB5C5B8EF17}">
      <text>
        <r>
          <rPr>
            <b/>
            <sz val="9"/>
            <color indexed="81"/>
            <rFont val="Tahoma"/>
            <family val="2"/>
          </rPr>
          <t>Hourly rainfall intensities greater than the value shown were included</t>
        </r>
        <r>
          <rPr>
            <sz val="9"/>
            <color indexed="81"/>
            <rFont val="Tahoma"/>
            <family val="2"/>
          </rPr>
          <t xml:space="preserve">
</t>
        </r>
      </text>
    </comment>
    <comment ref="L12" authorId="2" shapeId="0" xr:uid="{7D8024EC-61BE-4454-B358-05E6D6F674DE}">
      <text>
        <r>
          <rPr>
            <b/>
            <sz val="9"/>
            <color indexed="81"/>
            <rFont val="Tahoma"/>
            <family val="2"/>
          </rPr>
          <t>Input to Performance Evaluation Tab, section #7, column (iii)</t>
        </r>
      </text>
    </comment>
    <comment ref="C13" authorId="2" shapeId="0" xr:uid="{00000000-0006-0000-0100-000001000000}">
      <text>
        <r>
          <rPr>
            <b/>
            <sz val="9"/>
            <color indexed="81"/>
            <rFont val="Tahoma"/>
            <family val="2"/>
          </rPr>
          <t>Input to Performance Evaluation tab, section #7, column (iii)</t>
        </r>
      </text>
    </comment>
    <comment ref="B36" authorId="2" shapeId="0" xr:uid="{00000000-0006-0000-0100-000002000000}">
      <text>
        <r>
          <rPr>
            <b/>
            <sz val="9"/>
            <color indexed="81"/>
            <rFont val="Tahoma"/>
            <family val="2"/>
          </rPr>
          <t>Used in Annual Sediment Volume calculations</t>
        </r>
      </text>
    </comment>
    <comment ref="B40" authorId="2" shapeId="0" xr:uid="{00000000-0006-0000-0100-000003000000}">
      <text>
        <r>
          <rPr>
            <b/>
            <sz val="9"/>
            <color indexed="81"/>
            <rFont val="Tahoma"/>
            <family val="2"/>
          </rPr>
          <t>Criteria for In-Line or Off-Line installation configuration</t>
        </r>
      </text>
    </comment>
    <comment ref="B41" authorId="2" shapeId="0" xr:uid="{00000000-0006-0000-0100-000004000000}">
      <text>
        <r>
          <rPr>
            <b/>
            <sz val="9"/>
            <color indexed="81"/>
            <rFont val="Tahoma"/>
            <family val="2"/>
          </rPr>
          <t>EMC - used to calculate Annual Sediment Volume</t>
        </r>
      </text>
    </comment>
    <comment ref="B42" authorId="2" shapeId="0" xr:uid="{00000000-0006-0000-0100-000005000000}">
      <text>
        <r>
          <rPr>
            <b/>
            <sz val="9"/>
            <color indexed="81"/>
            <rFont val="Tahoma"/>
            <family val="2"/>
          </rPr>
          <t>WetDensity - Used to convert wet sediment mass to volume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Shad Hussain</author>
  </authors>
  <commentList>
    <comment ref="C5" authorId="0" shapeId="0" xr:uid="{00000000-0006-0000-0200-000001000000}">
      <text>
        <r>
          <rPr>
            <sz val="9"/>
            <color indexed="81"/>
            <rFont val="Tahoma"/>
            <family val="2"/>
          </rPr>
          <t>Based on removal from ALL particle size by mass-balance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Shad Hussain</author>
  </authors>
  <commentList>
    <comment ref="D1" authorId="0" shapeId="0" xr:uid="{00000000-0006-0000-0300-000002000000}">
      <text>
        <r>
          <rPr>
            <sz val="9"/>
            <color indexed="81"/>
            <rFont val="Tahoma"/>
            <family val="2"/>
          </rPr>
          <t>Q = CiA</t>
        </r>
      </text>
    </comment>
    <comment ref="F1" authorId="0" shapeId="0" xr:uid="{00000000-0006-0000-0300-000003000000}">
      <text>
        <r>
          <rPr>
            <sz val="9"/>
            <color indexed="81"/>
            <rFont val="Tahoma"/>
            <family val="2"/>
          </rPr>
          <t>SLR = Q / SA</t>
        </r>
      </text>
    </comment>
    <comment ref="G1" authorId="0" shapeId="0" xr:uid="{00000000-0006-0000-0300-000004000000}">
      <text>
        <r>
          <rPr>
            <sz val="9"/>
            <color indexed="81"/>
            <rFont val="Tahoma"/>
            <family val="2"/>
          </rPr>
          <t xml:space="preserve">
Design Removal interpolated from [Tested Removal vs Tested SLR based lReference ] (See Sheet 2 Input) ETV Sheet 2</t>
        </r>
      </text>
    </comment>
    <comment ref="H1" authorId="0" shapeId="0" xr:uid="{00000000-0006-0000-0300-000005000000}">
      <text>
        <r>
          <rPr>
            <sz val="9"/>
            <color indexed="81"/>
            <rFont val="Tahoma"/>
            <family val="2"/>
          </rPr>
          <t xml:space="preserve">
Percent Annual Rainfall x Removal Performance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<sst xmlns="http://schemas.openxmlformats.org/spreadsheetml/2006/main" count="393" uniqueCount="275">
  <si>
    <t>% Imperviousness</t>
  </si>
  <si>
    <t>Catchment Area [ha]</t>
  </si>
  <si>
    <t>Surface Area [m2]</t>
  </si>
  <si>
    <t>Manufacturer Name</t>
  </si>
  <si>
    <t xml:space="preserve">Technology Name </t>
  </si>
  <si>
    <t>Tested SLR [L/min/m2]</t>
  </si>
  <si>
    <t>Match Row</t>
  </si>
  <si>
    <t>Design Surface Loading Rate [L/min/m2]</t>
  </si>
  <si>
    <t>Column1</t>
  </si>
  <si>
    <t>Column2</t>
  </si>
  <si>
    <t>Column3</t>
  </si>
  <si>
    <t>Column4</t>
  </si>
  <si>
    <t>Column5</t>
  </si>
  <si>
    <t>Column6</t>
  </si>
  <si>
    <t>Column7</t>
  </si>
  <si>
    <t>Column8</t>
  </si>
  <si>
    <t>Column9</t>
  </si>
  <si>
    <t>Design Flow 
[L/s]</t>
  </si>
  <si>
    <t>Design Flow Rate
[L/min]</t>
  </si>
  <si>
    <t>Cumulative Removal from Ann. Rainfall
(%)</t>
  </si>
  <si>
    <t>Incremental Removal from Ann. Rainfall
(%)</t>
  </si>
  <si>
    <t>Cumulative Ann. Rainfall [%]</t>
  </si>
  <si>
    <t>Design Rainfall Intensity [mm/hr]</t>
  </si>
  <si>
    <t>Evaluated TSS Removal Performance 
[%]</t>
  </si>
  <si>
    <t>Project Name</t>
  </si>
  <si>
    <t>Tested Surface Loading Rate 
[L/min/m2]</t>
  </si>
  <si>
    <t>Model</t>
  </si>
  <si>
    <t>Effluent Conc
[mg/L]</t>
  </si>
  <si>
    <t>MTD Application</t>
  </si>
  <si>
    <t>Installation Configuration</t>
  </si>
  <si>
    <t>Date</t>
  </si>
  <si>
    <t>Describe Application</t>
  </si>
  <si>
    <t>Percent of Ave Annual Rainfall
[%]</t>
  </si>
  <si>
    <t>Total TSS Removal
[%]</t>
  </si>
  <si>
    <t>TEST MODEL - ETV TESTING AND VERIFICATION DATA</t>
  </si>
  <si>
    <t>A) Sediment Capture Test</t>
  </si>
  <si>
    <t>B) Scour Test</t>
  </si>
  <si>
    <t>Incremental Untreated Ann. Rainfall [%]</t>
  </si>
  <si>
    <t>I</t>
  </si>
  <si>
    <t>II</t>
  </si>
  <si>
    <t>III</t>
  </si>
  <si>
    <t>IV</t>
  </si>
  <si>
    <t>V</t>
  </si>
  <si>
    <t>VI</t>
  </si>
  <si>
    <t>VII</t>
  </si>
  <si>
    <t>VIII</t>
  </si>
  <si>
    <t>IX</t>
  </si>
  <si>
    <t xml:space="preserve">Area </t>
  </si>
  <si>
    <t>m-D)</t>
  </si>
  <si>
    <t xml:space="preserve">ha; Model </t>
  </si>
  <si>
    <t xml:space="preserve">Overall TSS Removal Summary - </t>
  </si>
  <si>
    <t xml:space="preserve">Tested vs Design TSS Removal Performance - </t>
  </si>
  <si>
    <t xml:space="preserve">Tested vs Design Scour Performance - </t>
  </si>
  <si>
    <t>X</t>
  </si>
  <si>
    <t xml:space="preserve">              Stand-Alone</t>
  </si>
  <si>
    <t xml:space="preserve">Recongized TSS  Removal Rate - </t>
  </si>
  <si>
    <t>1.       Project Background</t>
  </si>
  <si>
    <t>7.        Design Considerations</t>
  </si>
  <si>
    <t>Charts - Summary Performance</t>
  </si>
  <si>
    <t>Sediment Capture Test</t>
  </si>
  <si>
    <t>Scour Test</t>
  </si>
  <si>
    <t>Testing/Verification</t>
  </si>
  <si>
    <t xml:space="preserve">          ISO14034/ETV Verification Statement</t>
  </si>
  <si>
    <t>Scaling Ratio</t>
  </si>
  <si>
    <t>Column72</t>
  </si>
  <si>
    <t>Removal Efficiency [%]</t>
  </si>
  <si>
    <t>Runoff Coefficient</t>
  </si>
  <si>
    <t>Effluent Conc. [mg/L]</t>
  </si>
  <si>
    <t>Evaluated TSS Removal  
[%]</t>
  </si>
  <si>
    <t>Off-Line TSS Removal [%]</t>
  </si>
  <si>
    <t>Internal By-Pass?</t>
  </si>
  <si>
    <t>Site Location</t>
  </si>
  <si>
    <t>Oil Retention?</t>
  </si>
  <si>
    <t xml:space="preserve">Proposed Model </t>
  </si>
  <si>
    <t>Proposed Model</t>
  </si>
  <si>
    <t>Peak Runoff Flow 
[L/s]</t>
  </si>
  <si>
    <t>Municipality/City/Region</t>
  </si>
  <si>
    <t>Reference Documentation</t>
  </si>
  <si>
    <t>Laboratory Tested Model</t>
  </si>
  <si>
    <t xml:space="preserve">&lt;&lt; MECP (2003) - SWMPD - Table 6.3 - Annual Sediment Loadings </t>
  </si>
  <si>
    <t>Data Time Interval</t>
  </si>
  <si>
    <t>Data Time Range</t>
  </si>
  <si>
    <t>&lt;&lt; Environment Canada (1939-2013) - Toronto Pearson International Airport</t>
  </si>
  <si>
    <t>Design Engineer</t>
  </si>
  <si>
    <t>Max Treatment Flow [L/s]</t>
  </si>
  <si>
    <t>Incremental Removal [%]</t>
  </si>
  <si>
    <t>Cumulative Removal [%]</t>
  </si>
  <si>
    <t>Average Annual Precipitation [m]</t>
  </si>
  <si>
    <t>Tested for Oil Retention?</t>
  </si>
  <si>
    <t>1) Average Year Volume-Intensity Analysis</t>
  </si>
  <si>
    <t>Design Intensity [mm/hr]</t>
  </si>
  <si>
    <t xml:space="preserve">Analysis Interval </t>
  </si>
  <si>
    <t>Design Flow to MTD 
[L/s]</t>
  </si>
  <si>
    <r>
      <t xml:space="preserve">OGS REVIEW SHEET
</t>
    </r>
    <r>
      <rPr>
        <sz val="12"/>
        <color theme="5"/>
        <rFont val="Impact"/>
        <family val="2"/>
      </rPr>
      <t>PERFORMANCE EVALUATION</t>
    </r>
  </si>
  <si>
    <t>Sample Development</t>
  </si>
  <si>
    <t>Yes</t>
  </si>
  <si>
    <t xml:space="preserve">         CETV Laboratory Testing  Protocol</t>
  </si>
  <si>
    <t>All cells in blue are mandatory inputs</t>
  </si>
  <si>
    <t>No</t>
  </si>
  <si>
    <t>Upstream Flow Attenuation?</t>
  </si>
  <si>
    <t>Sediment Depth [m]</t>
  </si>
  <si>
    <t>5.        OGS Selection and Dimensions</t>
  </si>
  <si>
    <t>123 Sample Street, Toronto</t>
  </si>
  <si>
    <t>2.        Design and Performance Requirement</t>
  </si>
  <si>
    <t>Min MTD TSS Removal Req</t>
  </si>
  <si>
    <t>Treatment train application for catchment with at-source GI/LID measures to meet site-wide 80% TSS removal</t>
  </si>
  <si>
    <t>Average Year TSS Removal Claim</t>
  </si>
  <si>
    <t>9.        Performance Evaluation</t>
  </si>
  <si>
    <t>8.       Sign-Off</t>
  </si>
  <si>
    <t>Clarity Waters, P.Eng.</t>
  </si>
  <si>
    <t xml:space="preserve">         OGS Pre-treatment to underground chamber system</t>
  </si>
  <si>
    <t>Pearson Airport</t>
  </si>
  <si>
    <r>
      <t>Design SLR [L/min/m</t>
    </r>
    <r>
      <rPr>
        <vertAlign val="superscript"/>
        <sz val="10"/>
        <rFont val="Arial Rounded MT Bold"/>
        <family val="2"/>
      </rPr>
      <t>2</t>
    </r>
    <r>
      <rPr>
        <sz val="10"/>
        <rFont val="Arial Rounded MT Bold"/>
        <family val="2"/>
      </rPr>
      <t>]</t>
    </r>
  </si>
  <si>
    <r>
      <t>Provided Storage Vol [m</t>
    </r>
    <r>
      <rPr>
        <vertAlign val="superscript"/>
        <sz val="10"/>
        <color theme="1"/>
        <rFont val="Arial Rounded MT Bold"/>
        <family val="2"/>
      </rPr>
      <t>3</t>
    </r>
    <r>
      <rPr>
        <sz val="10"/>
        <color theme="1"/>
        <rFont val="Arial Rounded MT Bold"/>
        <family val="2"/>
      </rPr>
      <t>]</t>
    </r>
  </si>
  <si>
    <t>1980-2005</t>
  </si>
  <si>
    <t>Source:  This OGS Review Sheet has been modified by TRCA from an earlier version developed by the City of Toronto.  The City and TRCA do not make any warranty or representation, expressed or implied, with respect to the accuracy or completeness of the inormation provided through this OGS Review Sheet.</t>
  </si>
  <si>
    <r>
      <rPr>
        <b/>
        <sz val="9"/>
        <color theme="1"/>
        <rFont val="Arial Narrow"/>
        <family val="2"/>
      </rPr>
      <t>Limitations:</t>
    </r>
    <r>
      <rPr>
        <sz val="9"/>
        <color theme="1"/>
        <rFont val="Arial Narrow"/>
        <family val="2"/>
      </rPr>
      <t xml:space="preserve">
1) The OGS Review Sheet is intended for the purpose of evaluating the average year TSS removal claim from an OGS device, where proposed in a SWM Report.
2) The OGS Review Sheet is not intended for use as an engingineering design/sizing tool. OGS vendor/model selection and design should be in accordance with municipal or Conservation Authority SWM Guidelines.
3) The OGS Review Sheet is to be completed by the Design Engineer (i.e., Licensed Professional Engineer in Ontario) responsible for the preparation of the SWM Report.
4) The Design Engineer shall be responsible for the validity, accuracy, and completeness of all input data and information entered in the OGS Review Sheet</t>
    </r>
    <r>
      <rPr>
        <i/>
        <sz val="9"/>
        <color theme="1"/>
        <rFont val="Arial Narrow"/>
        <family val="2"/>
      </rPr>
      <t>.</t>
    </r>
    <r>
      <rPr>
        <sz val="9"/>
        <color theme="1"/>
        <rFont val="Arial Narrow"/>
        <family val="2"/>
      </rPr>
      <t xml:space="preserve">
5) The Design Engineer will not change, alter or vary interpretations to third party verified data used in the OGS Review Sheet, unless supported by official confirmation letter/documentation from the relevent third-party verifying agency.
6) The TRCA is not responsible for the validity or accuracy of third party-verified data, or subsequent changes to third party protocols or processes impacting such data.  
7) Completion and submission of the OGS Review Sheet does not guarantee the acceptability of an OGS device, where proposed in a SWM Report.  </t>
    </r>
  </si>
  <si>
    <t>TSS Effluent Threshold for ETV scour test [mg/L]</t>
  </si>
  <si>
    <t>Buttonville Airport</t>
  </si>
  <si>
    <t>Locations</t>
  </si>
  <si>
    <t>Toronto City</t>
  </si>
  <si>
    <t>2003-2019</t>
  </si>
  <si>
    <t>2004-2018</t>
  </si>
  <si>
    <t>Barrie-Oro</t>
  </si>
  <si>
    <t>Toronto Central - RG4</t>
  </si>
  <si>
    <t>Rainfall data</t>
  </si>
  <si>
    <t>USER INPUT</t>
  </si>
  <si>
    <t>Number of values included</t>
  </si>
  <si>
    <r>
      <t>Bypass Rate (L/min/m</t>
    </r>
    <r>
      <rPr>
        <vertAlign val="superscript"/>
        <sz val="10"/>
        <color theme="1"/>
        <rFont val="Arial Rounded MT Bold"/>
        <family val="2"/>
      </rPr>
      <t>2</t>
    </r>
    <r>
      <rPr>
        <sz val="10"/>
        <color theme="1"/>
        <rFont val="Arial Rounded MT Bold"/>
        <family val="2"/>
      </rPr>
      <t>)</t>
    </r>
  </si>
  <si>
    <r>
      <t>SLR [L/min/m</t>
    </r>
    <r>
      <rPr>
        <vertAlign val="superscript"/>
        <sz val="10"/>
        <color theme="1"/>
        <rFont val="Arial Rounded MT Bold"/>
        <family val="2"/>
      </rPr>
      <t>2</t>
    </r>
    <r>
      <rPr>
        <sz val="10"/>
        <color theme="1"/>
        <rFont val="Arial Rounded MT Bold"/>
        <family val="2"/>
      </rPr>
      <t>]</t>
    </r>
  </si>
  <si>
    <t>&lt;&lt; Upper limit of influent TSS concentration used in the ISO 14034/ETV lab test of OGS MTDs</t>
  </si>
  <si>
    <r>
      <t>Wet Density [kg/m</t>
    </r>
    <r>
      <rPr>
        <vertAlign val="superscript"/>
        <sz val="10"/>
        <color theme="1"/>
        <rFont val="Arial Rounded MT Bold"/>
        <family val="2"/>
      </rPr>
      <t>3</t>
    </r>
    <r>
      <rPr>
        <sz val="10"/>
        <color theme="1"/>
        <rFont val="Arial Rounded MT Bold"/>
        <family val="2"/>
      </rPr>
      <t>]</t>
    </r>
  </si>
  <si>
    <t>Peel</t>
  </si>
  <si>
    <t>York</t>
  </si>
  <si>
    <t xml:space="preserve">Toronto </t>
  </si>
  <si>
    <t>Simcoe</t>
  </si>
  <si>
    <t>Toronto</t>
  </si>
  <si>
    <t>1986-2007</t>
  </si>
  <si>
    <t>Cummulative % Rainfall Volume</t>
  </si>
  <si>
    <t>% Rainfall Volume</t>
  </si>
  <si>
    <t>Hourly rainfall intensity data included</t>
  </si>
  <si>
    <t>Hourly RI data included</t>
  </si>
  <si>
    <t>&gt; 1mm</t>
  </si>
  <si>
    <t>2011-2020</t>
  </si>
  <si>
    <t>Other</t>
  </si>
  <si>
    <t>Unknown</t>
  </si>
  <si>
    <t>Hourly</t>
  </si>
  <si>
    <t>45 minutes</t>
  </si>
  <si>
    <t>30 mintues</t>
  </si>
  <si>
    <t>15 minutes</t>
  </si>
  <si>
    <t>5 minutes</t>
  </si>
  <si>
    <t>Barrie RG3 - 60</t>
  </si>
  <si>
    <t>Barrie RG3 - 45</t>
  </si>
  <si>
    <t>Barrie RG3 -30</t>
  </si>
  <si>
    <t>Barrie RG3 -15</t>
  </si>
  <si>
    <t>0%</t>
  </si>
  <si>
    <t>5%</t>
  </si>
  <si>
    <t>10%</t>
  </si>
  <si>
    <t>15%</t>
  </si>
  <si>
    <t>20%</t>
  </si>
  <si>
    <t>25%</t>
  </si>
  <si>
    <t>30%</t>
  </si>
  <si>
    <t>35%</t>
  </si>
  <si>
    <t>40%</t>
  </si>
  <si>
    <t>45%</t>
  </si>
  <si>
    <t>50%</t>
  </si>
  <si>
    <t>55%</t>
  </si>
  <si>
    <t>60%</t>
  </si>
  <si>
    <t>65%</t>
  </si>
  <si>
    <t>70%</t>
  </si>
  <si>
    <t>75%</t>
  </si>
  <si>
    <t>80%</t>
  </si>
  <si>
    <t>85%</t>
  </si>
  <si>
    <t>90%</t>
  </si>
  <si>
    <t>95%</t>
  </si>
  <si>
    <t>100%</t>
  </si>
  <si>
    <t>User TABLE</t>
  </si>
  <si>
    <t>Cumulative % Rainfall Volume</t>
  </si>
  <si>
    <t>Does the proposed model meet the scaling rule?</t>
  </si>
  <si>
    <t>Internal Diameter [m]</t>
  </si>
  <si>
    <t>Chamber Depth [m]</t>
  </si>
  <si>
    <r>
      <t>Annual Sediment/Trash Volume [m</t>
    </r>
    <r>
      <rPr>
        <vertAlign val="superscript"/>
        <sz val="10"/>
        <color theme="1"/>
        <rFont val="Arial Rounded MT Bold"/>
        <family val="2"/>
      </rPr>
      <t>3</t>
    </r>
    <r>
      <rPr>
        <sz val="10"/>
        <color theme="1"/>
        <rFont val="Arial Rounded MT Bold"/>
        <family val="2"/>
      </rPr>
      <t>]</t>
    </r>
  </si>
  <si>
    <t>Desired cleanout frequency [years]</t>
  </si>
  <si>
    <t>&lt;&lt; Recommend setting at 1.5 to account for additional volumes of trash and gross debris not included in sediment accumulation calculation</t>
  </si>
  <si>
    <t>Safety Factor</t>
  </si>
  <si>
    <t xml:space="preserve">&lt;&lt; CCME - CEQG for high flow, freshwater conditions (assumes background stream concentration = 5 mg/L).  Units exceeding threshold at any of the tested surface loading rates require offline installation.  </t>
  </si>
  <si>
    <t>Vendor</t>
  </si>
  <si>
    <t>Initial Verification</t>
  </si>
  <si>
    <t>optional</t>
  </si>
  <si>
    <t>DM1200</t>
  </si>
  <si>
    <t>DM1200-OS</t>
  </si>
  <si>
    <t>Downstream Defender</t>
  </si>
  <si>
    <t>SciCLONE</t>
  </si>
  <si>
    <t>First Defense High Capacity OGS</t>
  </si>
  <si>
    <t>Contech</t>
  </si>
  <si>
    <t>Stormceptor EF4</t>
  </si>
  <si>
    <t>Stormceptor EFO4</t>
  </si>
  <si>
    <t>SDD3</t>
  </si>
  <si>
    <r>
      <t>1. Surface Loading Rate = 1893 L/min/m</t>
    </r>
    <r>
      <rPr>
        <vertAlign val="superscript"/>
        <sz val="10"/>
        <color theme="1"/>
        <rFont val="Arial"/>
        <family val="2"/>
      </rPr>
      <t>2</t>
    </r>
  </si>
  <si>
    <r>
      <t>2. Surface Loading Rate = 1800 L/min/m</t>
    </r>
    <r>
      <rPr>
        <vertAlign val="superscript"/>
        <sz val="10"/>
        <color theme="1"/>
        <rFont val="Arial"/>
        <family val="2"/>
      </rPr>
      <t>2</t>
    </r>
  </si>
  <si>
    <t>ISO ETV 14034 verified OGS MTDs</t>
  </si>
  <si>
    <t>Sediment Scour and Light Liquid Test Results, and other relevant operational parameters</t>
  </si>
  <si>
    <t>Head Loss</t>
  </si>
  <si>
    <r>
      <t>97 mm  @ 2610 L/min/m</t>
    </r>
    <r>
      <rPr>
        <vertAlign val="superscript"/>
        <sz val="11"/>
        <color theme="1"/>
        <rFont val="Calibri"/>
        <family val="2"/>
        <scheme val="minor"/>
      </rPr>
      <t>2</t>
    </r>
  </si>
  <si>
    <r>
      <t>69 mm  @ 2426 L/min/m</t>
    </r>
    <r>
      <rPr>
        <vertAlign val="superscript"/>
        <sz val="11"/>
        <color theme="1"/>
        <rFont val="Calibri"/>
        <family val="2"/>
        <scheme val="minor"/>
      </rPr>
      <t>2</t>
    </r>
  </si>
  <si>
    <t>&lt; 1</t>
  </si>
  <si>
    <r>
      <t>255 mm  @ 2564 L/min/m</t>
    </r>
    <r>
      <rPr>
        <vertAlign val="superscript"/>
        <sz val="11"/>
        <color theme="1"/>
        <rFont val="Calibri"/>
        <family val="2"/>
        <scheme val="minor"/>
      </rPr>
      <t>2</t>
    </r>
  </si>
  <si>
    <r>
      <t>111 mm  @ 1913 L/min/m</t>
    </r>
    <r>
      <rPr>
        <vertAlign val="superscript"/>
        <sz val="11"/>
        <color theme="1"/>
        <rFont val="Calibri"/>
        <family val="2"/>
        <scheme val="minor"/>
      </rPr>
      <t>2</t>
    </r>
    <r>
      <rPr>
        <sz val="12"/>
        <color theme="1"/>
        <rFont val="Arial"/>
        <family val="2"/>
      </rPr>
      <t xml:space="preserve"> (note 2)</t>
    </r>
  </si>
  <si>
    <t>Note 1:  All units tested under ISO 14034 would have third party verification of bypass rates and head loss.  Those not listed in the table can be obtained from the vendor.</t>
  </si>
  <si>
    <t>Note 3:  Grey highlighted values exceed the Canadian Council of Minister's of the Environment 25 mg/L TSS guideline for the receiving water protection (aka Canadian Water Quality Guidelines).</t>
  </si>
  <si>
    <t>Updated October 13, 2022</t>
  </si>
  <si>
    <t>Sediment Removal Results (by mass balance)</t>
  </si>
  <si>
    <t>40</t>
  </si>
  <si>
    <t>80</t>
  </si>
  <si>
    <t>200</t>
  </si>
  <si>
    <t>400</t>
  </si>
  <si>
    <t>600</t>
  </si>
  <si>
    <t>1000</t>
  </si>
  <si>
    <t>1400</t>
  </si>
  <si>
    <t>2002</t>
  </si>
  <si>
    <t>800</t>
  </si>
  <si>
    <t>2000</t>
  </si>
  <si>
    <t>2600</t>
  </si>
  <si>
    <t>Scour notes</t>
  </si>
  <si>
    <r>
      <t>Note 2:  Head loss declines at surface loading rates above 1913 L/min/m</t>
    </r>
    <r>
      <rPr>
        <vertAlign val="superscript"/>
        <sz val="10"/>
        <color theme="1"/>
        <rFont val="Arial"/>
        <family val="2"/>
      </rPr>
      <t>2</t>
    </r>
  </si>
  <si>
    <t>Rainwater_Management_Ltd.</t>
  </si>
  <si>
    <t>Hydro_International</t>
  </si>
  <si>
    <t>Imbrium_Systems_Inc.</t>
  </si>
  <si>
    <t>Next_Stormwater_Solutions</t>
  </si>
  <si>
    <t>Sediment removal notes for optional flow rate testing</t>
  </si>
  <si>
    <t>n/a</t>
  </si>
  <si>
    <t>14002</t>
  </si>
  <si>
    <r>
      <t>Bypass Rate (L/min/m</t>
    </r>
    <r>
      <rPr>
        <vertAlign val="superscript"/>
        <sz val="12"/>
        <color theme="1"/>
        <rFont val="Arial"/>
        <family val="2"/>
      </rPr>
      <t>2</t>
    </r>
    <r>
      <rPr>
        <sz val="12"/>
        <color theme="1"/>
        <rFont val="Arial"/>
        <family val="2"/>
      </rPr>
      <t>)</t>
    </r>
  </si>
  <si>
    <t>Light Liquid Retention (%)2</t>
  </si>
  <si>
    <t>Light Liquid Retention test?</t>
  </si>
  <si>
    <t>Obtain from Vendor</t>
  </si>
  <si>
    <t>Bypass type</t>
  </si>
  <si>
    <t>Full</t>
  </si>
  <si>
    <t>Partial or none</t>
  </si>
  <si>
    <t>Technology name</t>
  </si>
  <si>
    <t xml:space="preserve">DM </t>
  </si>
  <si>
    <t>DM-OS</t>
  </si>
  <si>
    <t>EF</t>
  </si>
  <si>
    <t>EFO</t>
  </si>
  <si>
    <r>
      <t xml:space="preserve">OGS REVIEW SHEET
</t>
    </r>
    <r>
      <rPr>
        <sz val="12"/>
        <color theme="5"/>
        <rFont val="Impact"/>
        <family val="2"/>
      </rPr>
      <t>RAINFALL AND MAINTENANCE</t>
    </r>
  </si>
  <si>
    <t xml:space="preserve"> Hydrostorm</t>
  </si>
  <si>
    <t xml:space="preserve">First Defense </t>
  </si>
  <si>
    <t>CDS</t>
  </si>
  <si>
    <t>Diameter</t>
  </si>
  <si>
    <t>Max. rec. Sed. Depth</t>
  </si>
  <si>
    <t>Chamber depth</t>
  </si>
  <si>
    <t>SDD3-900</t>
  </si>
  <si>
    <t>CDS 2015-4</t>
  </si>
  <si>
    <t>3.        Site Characteristics</t>
  </si>
  <si>
    <t>2) Maintenance Considerations</t>
  </si>
  <si>
    <t>TSS Influent Event Mean Concentration [mg/L]</t>
  </si>
  <si>
    <t>Bypass range as percent of total annual rainfall volume</t>
  </si>
  <si>
    <t>Depth Proportionality</t>
  </si>
  <si>
    <t>Target TSS</t>
  </si>
  <si>
    <t>Column82</t>
  </si>
  <si>
    <t>to</t>
  </si>
  <si>
    <t>SWM Report, Drawings X, Y, Z</t>
  </si>
  <si>
    <t>Version 2.0</t>
  </si>
  <si>
    <t>StormSettler 4</t>
  </si>
  <si>
    <t>StormSettler</t>
  </si>
  <si>
    <t>142 and 253 mm at 1419  and 4032 L/min/m2, respectively</t>
  </si>
  <si>
    <t>StormTrap</t>
  </si>
  <si>
    <t>HydroDome</t>
  </si>
  <si>
    <t>HD3</t>
  </si>
  <si>
    <t>HS4</t>
  </si>
  <si>
    <t>DM-1500</t>
  </si>
  <si>
    <t xml:space="preserve">Safety Factor for Clean Out Frequency </t>
  </si>
  <si>
    <t>In-Line</t>
  </si>
  <si>
    <t>5.        ISO 14034:ETV Verified Test Results</t>
  </si>
  <si>
    <t xml:space="preserve">Hydroworks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</si>
</sst>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_-* #,##0_-;\-* #,##0_-;_-* &quot;-&quot;??_-;_-@_-"/>
    <numFmt numFmtId="167" formatCode="_-* #,##0.0_-;\-* #,##0.0_-;_-* &quot;-&quot;??_-;_-@_-"/>
    <numFmt numFmtId="168" formatCode="[$-1009]d\-mmm\-yy;@"/>
    <numFmt numFmtId="169" formatCode="0.000"/>
  </numFmts>
  <fonts count="69" x14ac:knownFonts="1">
    <font>
      <sz val="12"/>
      <color theme="1"/>
      <name val="Arial"/>
      <family val="2"/>
    </font>
    <font>
      <sz val="11"/>
      <color theme="1"/>
      <name val="Arial"/>
      <family val="2"/>
    </font>
    <font>
      <sz val="11"/>
      <color theme="1"/>
      <name val="Calibri"/>
      <family val="2"/>
      <scheme val="minor"/>
    </font>
    <font>
      <sz val="12"/>
      <color theme="1"/>
      <name val="Arial"/>
      <family val="2"/>
    </font>
    <font>
      <sz val="10"/>
      <name val="Times New Roman"/>
      <family val="1"/>
    </font>
    <font>
      <sz val="10"/>
      <name val="Calibri"/>
      <family val="2"/>
      <scheme val="minor"/>
    </font>
    <font>
      <b/>
      <sz val="10"/>
      <name val="Calibri"/>
      <family val="2"/>
      <scheme val="minor"/>
    </font>
    <font>
      <sz val="10"/>
      <color theme="1"/>
      <name val="Calibri"/>
      <family val="2"/>
      <scheme val="minor"/>
    </font>
    <font>
      <b/>
      <sz val="10"/>
      <color theme="1"/>
      <name val="Calibri"/>
      <family val="2"/>
      <scheme val="minor"/>
    </font>
    <font>
      <b/>
      <sz val="10"/>
      <color theme="2" tint="-0.249977111117893"/>
      <name val="Calibri"/>
      <family val="2"/>
      <scheme val="minor"/>
    </font>
    <font>
      <b/>
      <sz val="10"/>
      <color theme="0"/>
      <name val="Calibri"/>
      <family val="2"/>
      <scheme val="minor"/>
    </font>
    <font>
      <sz val="10"/>
      <color theme="2" tint="-0.249977111117893"/>
      <name val="Calibri"/>
      <family val="2"/>
      <scheme val="minor"/>
    </font>
    <font>
      <sz val="10"/>
      <color theme="2" tint="-0.499984740745262"/>
      <name val="Calibri"/>
      <family val="2"/>
      <scheme val="minor"/>
    </font>
    <font>
      <i/>
      <sz val="10"/>
      <color rgb="FFFF0000"/>
      <name val="Calibri"/>
      <family val="2"/>
      <scheme val="minor"/>
    </font>
    <font>
      <sz val="9"/>
      <color indexed="81"/>
      <name val="Tahoma"/>
      <family val="2"/>
    </font>
    <font>
      <b/>
      <sz val="9"/>
      <color indexed="81"/>
      <name val="Tahoma"/>
      <family val="2"/>
    </font>
    <font>
      <sz val="10"/>
      <color theme="6" tint="-0.249977111117893"/>
      <name val="Calibri"/>
      <family val="2"/>
      <scheme val="minor"/>
    </font>
    <font>
      <sz val="14"/>
      <color theme="0"/>
      <name val="Impact"/>
      <family val="2"/>
    </font>
    <font>
      <sz val="8"/>
      <color theme="2" tint="-0.499984740745262"/>
      <name val="Calibri"/>
      <family val="2"/>
      <scheme val="minor"/>
    </font>
    <font>
      <sz val="10"/>
      <color theme="1"/>
      <name val="Arial Rounded MT Bold"/>
      <family val="2"/>
    </font>
    <font>
      <sz val="10"/>
      <color rgb="FF00B0F0"/>
      <name val="Arial Rounded MT Bold"/>
      <family val="2"/>
    </font>
    <font>
      <sz val="10"/>
      <color theme="0" tint="-0.499984740745262"/>
      <name val="Arial Rounded MT Bold"/>
      <family val="2"/>
    </font>
    <font>
      <b/>
      <i/>
      <sz val="10"/>
      <color rgb="FF00B0F0"/>
      <name val="Arial Rounded MT Bold"/>
      <family val="2"/>
    </font>
    <font>
      <i/>
      <sz val="8"/>
      <color rgb="FF00B0F0"/>
      <name val="Arial Rounded MT Bold"/>
      <family val="2"/>
    </font>
    <font>
      <sz val="10"/>
      <name val="Arial Rounded MT Bold"/>
      <family val="2"/>
    </font>
    <font>
      <i/>
      <sz val="10"/>
      <name val="Arial Rounded MT Bold"/>
      <family val="2"/>
    </font>
    <font>
      <i/>
      <sz val="10"/>
      <color theme="1"/>
      <name val="Arial Rounded MT Bold"/>
      <family val="2"/>
    </font>
    <font>
      <sz val="10"/>
      <color theme="2" tint="-0.499984740745262"/>
      <name val="Arial Rounded MT Bold"/>
      <family val="2"/>
    </font>
    <font>
      <i/>
      <sz val="10"/>
      <color rgb="FF00B0F0"/>
      <name val="Arial Rounded MT Bold"/>
      <family val="2"/>
    </font>
    <font>
      <sz val="12"/>
      <color rgb="FF00B0F0"/>
      <name val="Arial Rounded MT Bold"/>
      <family val="2"/>
    </font>
    <font>
      <sz val="12"/>
      <color theme="1"/>
      <name val="Arial Rounded MT Bold"/>
      <family val="2"/>
    </font>
    <font>
      <i/>
      <sz val="10"/>
      <color theme="0" tint="-0.499984740745262"/>
      <name val="Arial Rounded MT Bold"/>
      <family val="2"/>
    </font>
    <font>
      <sz val="10"/>
      <color rgb="FF00B050"/>
      <name val="Arial Rounded MT Bold"/>
      <family val="2"/>
    </font>
    <font>
      <i/>
      <sz val="10"/>
      <color theme="5"/>
      <name val="Arial Rounded MT Bold"/>
      <family val="2"/>
    </font>
    <font>
      <b/>
      <sz val="10"/>
      <color theme="5"/>
      <name val="Arial Rounded MT Bold"/>
      <family val="2"/>
    </font>
    <font>
      <sz val="10"/>
      <color theme="0"/>
      <name val="Impact"/>
      <family val="2"/>
    </font>
    <font>
      <sz val="10"/>
      <color theme="0"/>
      <name val="Arial Rounded MT Bold"/>
      <family val="2"/>
    </font>
    <font>
      <sz val="10"/>
      <color theme="0" tint="-0.249977111117893"/>
      <name val="Arial Rounded MT Bold"/>
      <family val="2"/>
    </font>
    <font>
      <sz val="10"/>
      <color indexed="81"/>
      <name val="Arial Rounded MT Bold"/>
      <family val="2"/>
    </font>
    <font>
      <b/>
      <sz val="9"/>
      <color indexed="81"/>
      <name val="Arial Narrow"/>
      <family val="2"/>
    </font>
    <font>
      <sz val="9"/>
      <color indexed="81"/>
      <name val="Arial Narrow"/>
      <family val="2"/>
    </font>
    <font>
      <i/>
      <sz val="9"/>
      <color indexed="81"/>
      <name val="Arial Narrow"/>
      <family val="2"/>
    </font>
    <font>
      <sz val="9"/>
      <color theme="1"/>
      <name val="Arial Narrow"/>
      <family val="2"/>
    </font>
    <font>
      <b/>
      <sz val="9"/>
      <color theme="1"/>
      <name val="Arial Narrow"/>
      <family val="2"/>
    </font>
    <font>
      <i/>
      <sz val="9"/>
      <color theme="1"/>
      <name val="Arial Narrow"/>
      <family val="2"/>
    </font>
    <font>
      <sz val="10"/>
      <color theme="5"/>
      <name val="Arial Rounded MT Bold"/>
      <family val="2"/>
    </font>
    <font>
      <sz val="12"/>
      <color theme="5"/>
      <name val="Impact"/>
      <family val="2"/>
    </font>
    <font>
      <b/>
      <sz val="9"/>
      <color indexed="81"/>
      <name val="Arial Rounded MT Bold"/>
      <family val="2"/>
    </font>
    <font>
      <i/>
      <sz val="9"/>
      <color indexed="81"/>
      <name val="Tahoma"/>
      <family val="2"/>
    </font>
    <font>
      <vertAlign val="superscript"/>
      <sz val="10"/>
      <name val="Arial Rounded MT Bold"/>
      <family val="2"/>
    </font>
    <font>
      <vertAlign val="superscript"/>
      <sz val="10"/>
      <color theme="1"/>
      <name val="Arial Rounded MT Bold"/>
      <family val="2"/>
    </font>
    <font>
      <b/>
      <sz val="12"/>
      <color theme="1"/>
      <name val="Arial"/>
      <family val="2"/>
    </font>
    <font>
      <b/>
      <sz val="12"/>
      <color theme="0"/>
      <name val="Arial Rounded MT Bold"/>
      <family val="2"/>
    </font>
    <font>
      <b/>
      <i/>
      <sz val="9"/>
      <color indexed="81"/>
      <name val="Tahoma"/>
      <family val="2"/>
    </font>
    <font>
      <b/>
      <sz val="11"/>
      <color theme="1"/>
      <name val="Calibri"/>
      <family val="2"/>
      <scheme val="minor"/>
    </font>
    <font>
      <vertAlign val="superscript"/>
      <sz val="11"/>
      <color theme="1"/>
      <name val="Calibri"/>
      <family val="2"/>
      <scheme val="minor"/>
    </font>
    <font>
      <sz val="10"/>
      <color theme="1"/>
      <name val="Arial"/>
      <family val="2"/>
    </font>
    <font>
      <vertAlign val="superscript"/>
      <sz val="10"/>
      <color theme="1"/>
      <name val="Arial"/>
      <family val="2"/>
    </font>
    <font>
      <b/>
      <sz val="10"/>
      <name val="Arial"/>
      <family val="2"/>
    </font>
    <font>
      <b/>
      <sz val="11"/>
      <name val="Calibri"/>
      <family val="2"/>
      <scheme val="minor"/>
    </font>
    <font>
      <vertAlign val="superscript"/>
      <sz val="12"/>
      <color theme="1"/>
      <name val="Arial"/>
      <family val="2"/>
    </font>
    <font>
      <sz val="10"/>
      <color rgb="FFFF0000"/>
      <name val="Arial Rounded MT Bold"/>
      <family val="2"/>
    </font>
    <font>
      <b/>
      <sz val="10"/>
      <color rgb="FFFF0000"/>
      <name val="Arial Rounded MT Bold"/>
      <family val="2"/>
    </font>
    <font>
      <b/>
      <sz val="10"/>
      <color theme="1"/>
      <name val="Arial Rounded MT Bold"/>
      <family val="2"/>
    </font>
    <font>
      <b/>
      <sz val="10"/>
      <color theme="0" tint="-0.499984740745262"/>
      <name val="Arial Rounded MT Bold"/>
      <family val="2"/>
    </font>
    <font>
      <sz val="8"/>
      <name val="Arial"/>
      <family val="2"/>
    </font>
    <font>
      <b/>
      <sz val="10"/>
      <name val="Arial Rounded MT Bold"/>
      <family val="2"/>
    </font>
    <font>
      <sz val="10"/>
      <color theme="0" tint="-4.9989318521683403E-2"/>
      <name val="Arial Rounded MT Bold"/>
      <family val="2"/>
    </font>
    <font>
      <b/>
      <sz val="10"/>
      <color theme="1"/>
      <name val="Arial"/>
      <family val="2"/>
    </font>
  </fonts>
  <fills count="16">
    <fill>
      <patternFill patternType="none"/>
    </fill>
    <fill>
      <patternFill patternType="gray125"/>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bgColor indexed="64"/>
      </patternFill>
    </fill>
    <fill>
      <patternFill patternType="solid">
        <fgColor theme="4" tint="0.79998168889431442"/>
        <bgColor indexed="64"/>
      </patternFill>
    </fill>
    <fill>
      <patternFill patternType="solid">
        <fgColor theme="2" tint="-0.749992370372631"/>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s>
  <borders count="57">
    <border>
      <left/>
      <right/>
      <top/>
      <bottom/>
      <diagonal/>
    </border>
    <border>
      <left/>
      <right/>
      <top/>
      <bottom style="medium">
        <color theme="2" tint="-0.499984740745262"/>
      </bottom>
      <diagonal/>
    </border>
    <border>
      <left/>
      <right/>
      <top style="medium">
        <color theme="2" tint="-0.499984740745262"/>
      </top>
      <bottom style="medium">
        <color theme="2" tint="-0.499984740745262"/>
      </bottom>
      <diagonal/>
    </border>
    <border>
      <left/>
      <right/>
      <top style="medium">
        <color theme="2" tint="-0.499984740745262"/>
      </top>
      <bottom/>
      <diagonal/>
    </border>
    <border>
      <left style="medium">
        <color theme="2" tint="-0.499984740745262"/>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bottom/>
      <diagonal/>
    </border>
    <border>
      <left/>
      <right style="medium">
        <color theme="2" tint="-0.499984740745262"/>
      </right>
      <top/>
      <bottom/>
      <diagonal/>
    </border>
    <border>
      <left/>
      <right style="medium">
        <color theme="2" tint="-0.499984740745262"/>
      </right>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medium">
        <color theme="2" tint="-0.499984740745262"/>
      </left>
      <right/>
      <top/>
      <bottom style="medium">
        <color theme="2" tint="-0.499984740745262"/>
      </bottom>
      <diagonal/>
    </border>
    <border>
      <left style="medium">
        <color theme="2" tint="-0.499984740745262"/>
      </left>
      <right/>
      <top style="medium">
        <color theme="2" tint="-0.499984740745262"/>
      </top>
      <bottom style="medium">
        <color theme="2" tint="-0.499984740745262"/>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style="medium">
        <color theme="2" tint="-0.499984740745262"/>
      </left>
      <right/>
      <top style="thin">
        <color theme="6"/>
      </top>
      <bottom style="medium">
        <color theme="2" tint="-0.499984740745262"/>
      </bottom>
      <diagonal/>
    </border>
    <border>
      <left/>
      <right/>
      <top style="thin">
        <color theme="6"/>
      </top>
      <bottom style="medium">
        <color theme="2" tint="-0.499984740745262"/>
      </bottom>
      <diagonal/>
    </border>
    <border>
      <left/>
      <right style="medium">
        <color theme="2" tint="-0.499984740745262"/>
      </right>
      <top style="thin">
        <color theme="6"/>
      </top>
      <bottom style="medium">
        <color theme="2" tint="-0.499984740745262"/>
      </bottom>
      <diagonal/>
    </border>
    <border>
      <left/>
      <right/>
      <top style="medium">
        <color theme="1" tint="0.34998626667073579"/>
      </top>
      <bottom/>
      <diagonal/>
    </border>
    <border>
      <left/>
      <right style="medium">
        <color theme="2" tint="-0.499984740745262"/>
      </right>
      <top style="medium">
        <color theme="1" tint="0.34998626667073579"/>
      </top>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style="thick">
        <color theme="2" tint="-0.499984740745262"/>
      </left>
      <right/>
      <top style="thick">
        <color theme="2" tint="-0.499984740745262"/>
      </top>
      <bottom/>
      <diagonal/>
    </border>
    <border>
      <left/>
      <right/>
      <top style="thick">
        <color theme="2" tint="-0.499984740745262"/>
      </top>
      <bottom/>
      <diagonal/>
    </border>
    <border>
      <left/>
      <right style="thick">
        <color theme="2" tint="-0.499984740745262"/>
      </right>
      <top style="thick">
        <color theme="2" tint="-0.499984740745262"/>
      </top>
      <bottom/>
      <diagonal/>
    </border>
    <border>
      <left style="thick">
        <color theme="2" tint="-0.499984740745262"/>
      </left>
      <right/>
      <top/>
      <bottom/>
      <diagonal/>
    </border>
    <border>
      <left/>
      <right style="thick">
        <color theme="2" tint="-0.499984740745262"/>
      </right>
      <top/>
      <bottom/>
      <diagonal/>
    </border>
    <border>
      <left style="thick">
        <color theme="2" tint="-0.499984740745262"/>
      </left>
      <right/>
      <top/>
      <bottom style="thick">
        <color theme="2" tint="-0.499984740745262"/>
      </bottom>
      <diagonal/>
    </border>
    <border>
      <left/>
      <right/>
      <top/>
      <bottom style="thick">
        <color theme="2" tint="-0.499984740745262"/>
      </bottom>
      <diagonal/>
    </border>
    <border>
      <left/>
      <right style="thick">
        <color theme="2" tint="-0.499984740745262"/>
      </right>
      <top/>
      <bottom style="thick">
        <color theme="2" tint="-0.499984740745262"/>
      </bottom>
      <diagonal/>
    </border>
    <border>
      <left/>
      <right/>
      <top style="medium">
        <color theme="2" tint="-0.499984740745262"/>
      </top>
      <bottom style="thin">
        <color theme="2" tint="-9.9948118533890809E-2"/>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theme="2" tint="-0.499984740745262"/>
      </right>
      <top/>
      <bottom style="medium">
        <color indexed="64"/>
      </bottom>
      <diagonal/>
    </border>
    <border>
      <left/>
      <right/>
      <top/>
      <bottom style="thin">
        <color indexed="64"/>
      </bottom>
      <diagonal/>
    </border>
    <border>
      <left style="thin">
        <color indexed="64"/>
      </left>
      <right/>
      <top style="thin">
        <color indexed="64"/>
      </top>
      <bottom style="medium">
        <color theme="2" tint="-0.499984740745262"/>
      </bottom>
      <diagonal/>
    </border>
    <border>
      <left/>
      <right/>
      <top style="thin">
        <color indexed="64"/>
      </top>
      <bottom style="medium">
        <color theme="2" tint="-0.499984740745262"/>
      </bottom>
      <diagonal/>
    </border>
    <border>
      <left/>
      <right style="thin">
        <color indexed="64"/>
      </right>
      <top style="thin">
        <color indexed="64"/>
      </top>
      <bottom style="medium">
        <color theme="2" tint="-0.499984740745262"/>
      </bottom>
      <diagonal/>
    </border>
    <border>
      <left style="thin">
        <color indexed="64"/>
      </left>
      <right/>
      <top style="medium">
        <color theme="2" tint="-0.499984740745262"/>
      </top>
      <bottom style="thin">
        <color theme="2" tint="-9.9948118533890809E-2"/>
      </bottom>
      <diagonal/>
    </border>
    <border>
      <left style="thick">
        <color theme="2" tint="-0.499984740745262"/>
      </left>
      <right style="thin">
        <color indexed="64"/>
      </right>
      <top style="medium">
        <color theme="2" tint="-0.499984740745262"/>
      </top>
      <bottom style="thin">
        <color theme="2" tint="-9.9948118533890809E-2"/>
      </bottom>
      <diagonal/>
    </border>
    <border>
      <left style="thin">
        <color indexed="64"/>
      </left>
      <right/>
      <top style="medium">
        <color theme="2" tint="-0.499984740745262"/>
      </top>
      <bottom style="thin">
        <color indexed="64"/>
      </bottom>
      <diagonal/>
    </border>
    <border>
      <left/>
      <right/>
      <top style="medium">
        <color theme="2" tint="-0.499984740745262"/>
      </top>
      <bottom style="thin">
        <color indexed="64"/>
      </bottom>
      <diagonal/>
    </border>
    <border>
      <left style="thick">
        <color theme="2" tint="-0.499984740745262"/>
      </left>
      <right style="thin">
        <color indexed="64"/>
      </right>
      <top style="medium">
        <color theme="2" tint="-0.499984740745262"/>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medium">
        <color theme="0" tint="-0.499984740745262"/>
      </bottom>
      <diagonal/>
    </border>
    <border>
      <left style="thin">
        <color indexed="64"/>
      </left>
      <right/>
      <top/>
      <bottom/>
      <diagonal/>
    </border>
    <border>
      <left/>
      <right style="thin">
        <color indexed="64"/>
      </right>
      <top style="medium">
        <color theme="0" tint="-0.499984740745262"/>
      </top>
      <bottom style="medium">
        <color theme="0" tint="-0.499984740745262"/>
      </bottom>
      <diagonal/>
    </border>
    <border>
      <left style="thin">
        <color indexed="64"/>
      </left>
      <right/>
      <top/>
      <bottom style="thin">
        <color indexed="64"/>
      </bottom>
      <diagonal/>
    </border>
    <border>
      <left/>
      <right style="thin">
        <color indexed="64"/>
      </right>
      <top style="medium">
        <color theme="0" tint="-0.49998474074526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style="thin">
        <color theme="4" tint="0.39997558519241921"/>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medium">
        <color theme="2" tint="-0.499984740745262"/>
      </left>
      <right/>
      <top/>
      <bottom style="medium">
        <color indexed="64"/>
      </bottom>
      <diagonal/>
    </border>
  </borders>
  <cellStyleXfs count="6">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xf numFmtId="0" fontId="2" fillId="0" borderId="0"/>
    <xf numFmtId="0" fontId="1" fillId="0" borderId="0"/>
  </cellStyleXfs>
  <cellXfs count="358">
    <xf numFmtId="0" fontId="0" fillId="0" borderId="0" xfId="0"/>
    <xf numFmtId="0" fontId="7" fillId="0" borderId="0" xfId="0" applyFont="1"/>
    <xf numFmtId="0" fontId="10" fillId="7" borderId="4" xfId="0" applyFont="1" applyFill="1" applyBorder="1" applyAlignment="1">
      <alignment vertical="center"/>
    </xf>
    <xf numFmtId="0" fontId="11" fillId="0" borderId="0" xfId="0" applyFont="1"/>
    <xf numFmtId="0" fontId="7" fillId="0" borderId="6" xfId="0" applyFont="1" applyBorder="1"/>
    <xf numFmtId="0" fontId="7" fillId="0" borderId="7" xfId="0" applyFont="1" applyBorder="1"/>
    <xf numFmtId="0" fontId="10" fillId="7" borderId="3" xfId="0" applyFont="1" applyFill="1" applyBorder="1" applyAlignment="1">
      <alignment vertical="center"/>
    </xf>
    <xf numFmtId="0" fontId="10" fillId="7" borderId="5" xfId="0" applyFont="1" applyFill="1" applyBorder="1" applyAlignment="1">
      <alignment vertical="center"/>
    </xf>
    <xf numFmtId="0" fontId="9" fillId="0" borderId="0" xfId="0" applyFont="1" applyAlignment="1">
      <alignment vertical="center"/>
    </xf>
    <xf numFmtId="0" fontId="8" fillId="0" borderId="0" xfId="0" applyFont="1" applyAlignment="1">
      <alignment vertical="center"/>
    </xf>
    <xf numFmtId="0" fontId="8" fillId="5" borderId="6" xfId="0" applyFont="1" applyFill="1" applyBorder="1"/>
    <xf numFmtId="0" fontId="7" fillId="5" borderId="0" xfId="0" applyFont="1" applyFill="1"/>
    <xf numFmtId="0" fontId="7" fillId="5" borderId="7" xfId="0" applyFont="1" applyFill="1" applyBorder="1"/>
    <xf numFmtId="0" fontId="7" fillId="0" borderId="10" xfId="0" applyFont="1" applyBorder="1"/>
    <xf numFmtId="0" fontId="7" fillId="0" borderId="1" xfId="0" applyFont="1" applyBorder="1"/>
    <xf numFmtId="0" fontId="7" fillId="0" borderId="8" xfId="0" applyFont="1" applyBorder="1"/>
    <xf numFmtId="0" fontId="8" fillId="0" borderId="1" xfId="0" applyFont="1" applyBorder="1" applyAlignment="1">
      <alignment horizontal="center" vertical="center" wrapText="1"/>
    </xf>
    <xf numFmtId="0" fontId="7" fillId="0" borderId="7" xfId="0" applyFont="1" applyBorder="1" applyAlignment="1">
      <alignment horizontal="center" vertical="center" wrapText="1"/>
    </xf>
    <xf numFmtId="0" fontId="11" fillId="0" borderId="0" xfId="0" applyFont="1" applyAlignment="1">
      <alignment horizontal="center" vertical="center" wrapText="1"/>
    </xf>
    <xf numFmtId="0" fontId="7" fillId="0" borderId="0" xfId="0" applyFont="1" applyAlignment="1">
      <alignment horizontal="center" vertical="center" wrapText="1"/>
    </xf>
    <xf numFmtId="0" fontId="12" fillId="0" borderId="6" xfId="0" applyFont="1" applyBorder="1"/>
    <xf numFmtId="0" fontId="13" fillId="0" borderId="0" xfId="0" applyFont="1" applyAlignment="1">
      <alignment vertical="center"/>
    </xf>
    <xf numFmtId="0" fontId="8" fillId="5" borderId="0" xfId="0" applyFont="1" applyFill="1"/>
    <xf numFmtId="0" fontId="12" fillId="0" borderId="3" xfId="2" applyNumberFormat="1" applyFont="1" applyFill="1" applyBorder="1" applyAlignment="1" applyProtection="1">
      <alignment horizontal="center"/>
    </xf>
    <xf numFmtId="0" fontId="12" fillId="0" borderId="0" xfId="2" applyNumberFormat="1" applyFont="1" applyFill="1" applyBorder="1" applyAlignment="1" applyProtection="1">
      <alignment horizontal="center"/>
    </xf>
    <xf numFmtId="0" fontId="12" fillId="0" borderId="1" xfId="2" applyNumberFormat="1" applyFont="1" applyFill="1" applyBorder="1" applyAlignment="1" applyProtection="1">
      <alignment horizontal="center"/>
    </xf>
    <xf numFmtId="9" fontId="12" fillId="0" borderId="0" xfId="2" applyFont="1" applyFill="1" applyBorder="1" applyAlignment="1" applyProtection="1">
      <alignment horizontal="center"/>
    </xf>
    <xf numFmtId="9" fontId="12" fillId="0" borderId="1" xfId="2" applyFont="1" applyFill="1" applyBorder="1" applyAlignment="1" applyProtection="1">
      <alignment horizontal="center"/>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164" fontId="5" fillId="0" borderId="6" xfId="3" applyNumberFormat="1" applyFont="1" applyBorder="1" applyAlignment="1">
      <alignment horizontal="center"/>
    </xf>
    <xf numFmtId="165" fontId="5" fillId="0" borderId="0" xfId="2" applyNumberFormat="1" applyFont="1" applyBorder="1" applyAlignment="1">
      <alignment horizontal="center"/>
    </xf>
    <xf numFmtId="9" fontId="16" fillId="0" borderId="0" xfId="2" applyFont="1" applyBorder="1" applyAlignment="1">
      <alignment horizontal="center"/>
    </xf>
    <xf numFmtId="166" fontId="16" fillId="0" borderId="0" xfId="1" applyNumberFormat="1" applyFont="1" applyBorder="1" applyAlignment="1">
      <alignment horizontal="center"/>
    </xf>
    <xf numFmtId="0" fontId="18" fillId="0" borderId="0" xfId="0" applyFont="1" applyAlignment="1">
      <alignment horizontal="left" vertical="center" readingOrder="1"/>
    </xf>
    <xf numFmtId="0" fontId="18" fillId="0" borderId="0" xfId="0" applyFont="1" applyAlignment="1">
      <alignment horizontal="center"/>
    </xf>
    <xf numFmtId="0" fontId="18" fillId="0" borderId="0" xfId="0" applyFont="1" applyAlignment="1">
      <alignment horizontal="left" vertical="center"/>
    </xf>
    <xf numFmtId="2" fontId="18" fillId="0" borderId="0" xfId="0" applyNumberFormat="1" applyFont="1" applyAlignment="1">
      <alignment horizontal="center"/>
    </xf>
    <xf numFmtId="9" fontId="18" fillId="0" borderId="0" xfId="2" applyFont="1" applyAlignment="1">
      <alignment horizontal="left" vertical="center"/>
    </xf>
    <xf numFmtId="1" fontId="12" fillId="0" borderId="3" xfId="2" applyNumberFormat="1" applyFont="1" applyFill="1" applyBorder="1" applyAlignment="1" applyProtection="1">
      <alignment horizontal="center"/>
    </xf>
    <xf numFmtId="1" fontId="12" fillId="0" borderId="0" xfId="2" applyNumberFormat="1" applyFont="1" applyFill="1" applyBorder="1" applyAlignment="1" applyProtection="1">
      <alignment horizontal="center"/>
    </xf>
    <xf numFmtId="1" fontId="12" fillId="0" borderId="1" xfId="2" applyNumberFormat="1" applyFont="1" applyFill="1" applyBorder="1" applyAlignment="1" applyProtection="1">
      <alignment horizontal="center"/>
    </xf>
    <xf numFmtId="0" fontId="19" fillId="0" borderId="0" xfId="0" applyFont="1" applyAlignment="1">
      <alignment wrapText="1"/>
    </xf>
    <xf numFmtId="0" fontId="20" fillId="10" borderId="0" xfId="0" applyFont="1" applyFill="1" applyAlignment="1">
      <alignment wrapText="1"/>
    </xf>
    <xf numFmtId="0" fontId="19" fillId="10" borderId="0" xfId="0" applyFont="1" applyFill="1" applyAlignment="1">
      <alignment wrapText="1"/>
    </xf>
    <xf numFmtId="0" fontId="19" fillId="0" borderId="0" xfId="0" applyFont="1"/>
    <xf numFmtId="0" fontId="20" fillId="10" borderId="0" xfId="0" applyFont="1" applyFill="1"/>
    <xf numFmtId="0" fontId="19" fillId="10" borderId="0" xfId="0" applyFont="1" applyFill="1"/>
    <xf numFmtId="0" fontId="19" fillId="0" borderId="6" xfId="0" applyFont="1" applyBorder="1" applyAlignment="1">
      <alignment vertical="center"/>
    </xf>
    <xf numFmtId="0" fontId="19" fillId="0" borderId="0" xfId="0" applyFont="1" applyAlignment="1">
      <alignment vertical="center"/>
    </xf>
    <xf numFmtId="0" fontId="19" fillId="0" borderId="0" xfId="0" applyFont="1" applyAlignment="1" applyProtection="1">
      <alignment vertical="center"/>
      <protection locked="0"/>
    </xf>
    <xf numFmtId="0" fontId="23" fillId="10" borderId="0" xfId="0" applyFont="1" applyFill="1" applyAlignment="1">
      <alignment vertical="center"/>
    </xf>
    <xf numFmtId="14" fontId="19" fillId="10" borderId="0" xfId="0" applyNumberFormat="1" applyFont="1" applyFill="1" applyAlignment="1">
      <alignment vertical="center"/>
    </xf>
    <xf numFmtId="0" fontId="19" fillId="10" borderId="0" xfId="0" applyFont="1" applyFill="1" applyAlignment="1">
      <alignment vertical="center"/>
    </xf>
    <xf numFmtId="0" fontId="20" fillId="10" borderId="0" xfId="0" applyFont="1" applyFill="1" applyAlignment="1">
      <alignment vertical="center"/>
    </xf>
    <xf numFmtId="0" fontId="19" fillId="0" borderId="7" xfId="0" applyFont="1" applyBorder="1" applyAlignment="1">
      <alignment vertical="center"/>
    </xf>
    <xf numFmtId="0" fontId="24" fillId="5" borderId="0" xfId="0" applyFont="1" applyFill="1" applyAlignment="1">
      <alignment vertical="center"/>
    </xf>
    <xf numFmtId="0" fontId="24" fillId="5" borderId="7" xfId="0" applyFont="1" applyFill="1" applyBorder="1" applyAlignment="1">
      <alignment vertical="center"/>
    </xf>
    <xf numFmtId="1" fontId="19" fillId="0" borderId="0" xfId="0" applyNumberFormat="1" applyFont="1" applyAlignment="1">
      <alignment vertical="center"/>
    </xf>
    <xf numFmtId="1" fontId="20" fillId="10" borderId="0" xfId="0" applyNumberFormat="1" applyFont="1" applyFill="1" applyAlignment="1">
      <alignment vertical="center"/>
    </xf>
    <xf numFmtId="0" fontId="21" fillId="8" borderId="9" xfId="0" applyFont="1" applyFill="1" applyBorder="1" applyAlignment="1">
      <alignment horizontal="center" vertical="center"/>
    </xf>
    <xf numFmtId="0" fontId="28" fillId="10" borderId="0" xfId="0" applyFont="1" applyFill="1" applyAlignment="1">
      <alignment vertical="center"/>
    </xf>
    <xf numFmtId="0" fontId="26" fillId="0" borderId="6" xfId="0" applyFont="1" applyBorder="1" applyAlignment="1">
      <alignment vertical="center"/>
    </xf>
    <xf numFmtId="0" fontId="26" fillId="0" borderId="0" xfId="0" applyFont="1" applyAlignment="1">
      <alignment horizontal="center" vertical="center"/>
    </xf>
    <xf numFmtId="0" fontId="19" fillId="0" borderId="0" xfId="0" applyFont="1" applyAlignment="1">
      <alignment vertical="center" wrapText="1"/>
    </xf>
    <xf numFmtId="1" fontId="20" fillId="10" borderId="0" xfId="0" applyNumberFormat="1" applyFont="1" applyFill="1" applyAlignment="1">
      <alignment vertical="center" wrapText="1"/>
    </xf>
    <xf numFmtId="0" fontId="19" fillId="10" borderId="0" xfId="0" applyFont="1" applyFill="1" applyAlignment="1">
      <alignment vertical="center" wrapText="1"/>
    </xf>
    <xf numFmtId="0" fontId="26" fillId="10" borderId="0" xfId="0" applyFont="1" applyFill="1" applyAlignment="1">
      <alignment horizontal="center" vertical="center" wrapText="1"/>
    </xf>
    <xf numFmtId="1" fontId="19" fillId="0" borderId="0" xfId="0" applyNumberFormat="1" applyFont="1" applyAlignment="1" applyProtection="1">
      <alignment vertical="center"/>
      <protection locked="0"/>
    </xf>
    <xf numFmtId="0" fontId="24" fillId="5" borderId="3" xfId="0" applyFont="1" applyFill="1" applyBorder="1" applyAlignment="1">
      <alignment vertical="center"/>
    </xf>
    <xf numFmtId="0" fontId="24" fillId="5" borderId="5" xfId="0" applyFont="1" applyFill="1" applyBorder="1" applyAlignment="1">
      <alignment vertical="center"/>
    </xf>
    <xf numFmtId="0" fontId="28" fillId="10" borderId="0" xfId="0" applyFont="1" applyFill="1"/>
    <xf numFmtId="0" fontId="29" fillId="10" borderId="0" xfId="0" applyFont="1" applyFill="1"/>
    <xf numFmtId="0" fontId="30" fillId="10" borderId="0" xfId="0" applyFont="1" applyFill="1"/>
    <xf numFmtId="0" fontId="24" fillId="5" borderId="6" xfId="0" applyFont="1" applyFill="1" applyBorder="1" applyAlignment="1">
      <alignment vertical="center"/>
    </xf>
    <xf numFmtId="0" fontId="22" fillId="10" borderId="0" xfId="0" applyFont="1" applyFill="1" applyAlignment="1">
      <alignment vertical="center"/>
    </xf>
    <xf numFmtId="0" fontId="31" fillId="0" borderId="0" xfId="0" applyFont="1"/>
    <xf numFmtId="0" fontId="31" fillId="10" borderId="0" xfId="0" applyFont="1" applyFill="1"/>
    <xf numFmtId="0" fontId="24" fillId="5" borderId="0" xfId="0" applyFont="1" applyFill="1" applyAlignment="1">
      <alignment horizontal="center" vertical="center"/>
    </xf>
    <xf numFmtId="0" fontId="26" fillId="0" borderId="11" xfId="0" applyFont="1" applyBorder="1" applyAlignment="1">
      <alignment vertical="center"/>
    </xf>
    <xf numFmtId="0" fontId="24" fillId="5" borderId="4" xfId="0" applyFont="1" applyFill="1" applyBorder="1" applyAlignment="1">
      <alignment vertical="center"/>
    </xf>
    <xf numFmtId="0" fontId="24" fillId="2" borderId="6"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3" borderId="0" xfId="0" applyFont="1" applyFill="1" applyAlignment="1">
      <alignment horizontal="center" vertical="center" wrapText="1"/>
    </xf>
    <xf numFmtId="0" fontId="24" fillId="3" borderId="7"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11" borderId="1"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11" xfId="0" applyFont="1" applyBorder="1" applyAlignment="1">
      <alignment vertical="center"/>
    </xf>
    <xf numFmtId="0" fontId="33" fillId="10" borderId="0" xfId="0" applyFont="1" applyFill="1"/>
    <xf numFmtId="0" fontId="34" fillId="10" borderId="0" xfId="0" applyFont="1" applyFill="1" applyAlignment="1">
      <alignment horizontal="center"/>
    </xf>
    <xf numFmtId="0" fontId="26" fillId="0" borderId="2" xfId="0" applyFont="1" applyBorder="1" applyAlignment="1">
      <alignment vertical="center"/>
    </xf>
    <xf numFmtId="0" fontId="27" fillId="0" borderId="3" xfId="0" applyFont="1" applyBorder="1" applyAlignment="1">
      <alignment horizontal="center" vertical="center"/>
    </xf>
    <xf numFmtId="165" fontId="16" fillId="0" borderId="7" xfId="2" applyNumberFormat="1" applyFont="1" applyBorder="1" applyAlignment="1">
      <alignment horizontal="center"/>
    </xf>
    <xf numFmtId="165" fontId="18" fillId="0" borderId="0" xfId="2" applyNumberFormat="1" applyFont="1" applyAlignment="1">
      <alignment horizontal="left" vertical="center"/>
    </xf>
    <xf numFmtId="165" fontId="19" fillId="0" borderId="7" xfId="2" applyNumberFormat="1" applyFont="1" applyBorder="1" applyAlignment="1" applyProtection="1">
      <alignment horizont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165" fontId="16" fillId="0" borderId="0" xfId="2" applyNumberFormat="1" applyFont="1" applyBorder="1" applyAlignment="1">
      <alignment horizontal="center"/>
    </xf>
    <xf numFmtId="167" fontId="16" fillId="0" borderId="0" xfId="0" applyNumberFormat="1" applyFont="1" applyAlignment="1">
      <alignment horizontal="center"/>
    </xf>
    <xf numFmtId="167" fontId="16" fillId="0" borderId="0" xfId="1" applyNumberFormat="1" applyFont="1" applyBorder="1" applyAlignment="1">
      <alignment horizontal="center" vertical="center"/>
    </xf>
    <xf numFmtId="9" fontId="21" fillId="0" borderId="0" xfId="2" applyFont="1" applyFill="1" applyBorder="1" applyAlignment="1" applyProtection="1">
      <alignment horizontal="center"/>
    </xf>
    <xf numFmtId="9" fontId="21" fillId="0" borderId="29" xfId="2" applyFont="1" applyFill="1" applyBorder="1" applyAlignment="1" applyProtection="1">
      <alignment horizontal="center"/>
    </xf>
    <xf numFmtId="0" fontId="19" fillId="0" borderId="0" xfId="0" applyFont="1" applyAlignment="1">
      <alignment horizontal="center" vertical="center"/>
    </xf>
    <xf numFmtId="0" fontId="19" fillId="0" borderId="24" xfId="0" applyFont="1" applyBorder="1"/>
    <xf numFmtId="0" fontId="19" fillId="0" borderId="25" xfId="0" applyFont="1" applyBorder="1"/>
    <xf numFmtId="0" fontId="19" fillId="8" borderId="24" xfId="0" applyFont="1" applyFill="1" applyBorder="1" applyAlignment="1">
      <alignment vertical="center"/>
    </xf>
    <xf numFmtId="0" fontId="19" fillId="8" borderId="0" xfId="0" applyFont="1" applyFill="1" applyAlignment="1">
      <alignment vertical="center"/>
    </xf>
    <xf numFmtId="0" fontId="19" fillId="8" borderId="25" xfId="0" applyFont="1" applyFill="1" applyBorder="1" applyAlignment="1">
      <alignment vertical="center"/>
    </xf>
    <xf numFmtId="0" fontId="19" fillId="10" borderId="25" xfId="0" applyFont="1" applyFill="1" applyBorder="1"/>
    <xf numFmtId="0" fontId="21" fillId="10" borderId="0" xfId="0" applyFont="1" applyFill="1"/>
    <xf numFmtId="0" fontId="19" fillId="0" borderId="0" xfId="0" applyFont="1" applyAlignment="1">
      <alignment horizontal="center"/>
    </xf>
    <xf numFmtId="0" fontId="19" fillId="8" borderId="0" xfId="0" applyFont="1" applyFill="1" applyAlignment="1">
      <alignment horizontal="center" vertical="center"/>
    </xf>
    <xf numFmtId="0" fontId="21" fillId="8" borderId="0" xfId="0" applyFont="1" applyFill="1" applyAlignment="1">
      <alignment vertical="center"/>
    </xf>
    <xf numFmtId="0" fontId="21" fillId="0" borderId="0" xfId="0" applyFont="1"/>
    <xf numFmtId="0" fontId="19" fillId="0" borderId="26" xfId="0" applyFont="1" applyBorder="1"/>
    <xf numFmtId="0" fontId="19" fillId="0" borderId="27" xfId="0" applyFont="1" applyBorder="1"/>
    <xf numFmtId="0" fontId="19" fillId="0" borderId="28" xfId="0" applyFont="1" applyBorder="1"/>
    <xf numFmtId="0" fontId="27" fillId="8" borderId="2" xfId="0" applyFont="1" applyFill="1" applyBorder="1" applyAlignment="1">
      <alignment horizontal="center" vertical="center"/>
    </xf>
    <xf numFmtId="0" fontId="19" fillId="0" borderId="0" xfId="0" applyFont="1" applyProtection="1">
      <protection locked="0"/>
    </xf>
    <xf numFmtId="0" fontId="19" fillId="10" borderId="0" xfId="0" applyFont="1" applyFill="1" applyProtection="1">
      <protection locked="0"/>
    </xf>
    <xf numFmtId="0" fontId="19" fillId="0" borderId="0" xfId="0" applyFont="1" applyAlignment="1" applyProtection="1">
      <alignment vertical="center" wrapText="1"/>
      <protection locked="0"/>
    </xf>
    <xf numFmtId="2" fontId="24" fillId="6" borderId="2" xfId="0" applyNumberFormat="1" applyFont="1" applyFill="1" applyBorder="1" applyAlignment="1" applyProtection="1">
      <alignment horizontal="center" vertical="center"/>
      <protection locked="0"/>
    </xf>
    <xf numFmtId="1" fontId="19" fillId="0" borderId="0" xfId="0" applyNumberFormat="1" applyFont="1" applyAlignment="1" applyProtection="1">
      <alignment vertical="center" wrapText="1"/>
      <protection locked="0"/>
    </xf>
    <xf numFmtId="0" fontId="26" fillId="10" borderId="0" xfId="0" applyFont="1" applyFill="1" applyAlignment="1">
      <alignment horizontal="center" vertical="center"/>
    </xf>
    <xf numFmtId="0" fontId="42" fillId="10" borderId="0" xfId="0" applyFont="1" applyFill="1" applyProtection="1">
      <protection locked="0"/>
    </xf>
    <xf numFmtId="0" fontId="51" fillId="0" borderId="0" xfId="0" applyFont="1"/>
    <xf numFmtId="9" fontId="0" fillId="0" borderId="0" xfId="0" applyNumberFormat="1"/>
    <xf numFmtId="2" fontId="51" fillId="0" borderId="0" xfId="0" applyNumberFormat="1" applyFont="1"/>
    <xf numFmtId="0" fontId="19" fillId="8" borderId="30" xfId="0" applyFont="1" applyFill="1" applyBorder="1"/>
    <xf numFmtId="0" fontId="19" fillId="8" borderId="30" xfId="0" applyFont="1" applyFill="1" applyBorder="1" applyAlignment="1">
      <alignment horizontal="left" vertical="center"/>
    </xf>
    <xf numFmtId="0" fontId="52" fillId="9" borderId="30" xfId="0" applyFont="1" applyFill="1" applyBorder="1" applyAlignment="1">
      <alignment vertical="center"/>
    </xf>
    <xf numFmtId="0" fontId="19" fillId="9" borderId="30" xfId="0" applyFont="1" applyFill="1" applyBorder="1"/>
    <xf numFmtId="164" fontId="19" fillId="0" borderId="0" xfId="0" applyNumberFormat="1" applyFont="1" applyAlignment="1">
      <alignment horizontal="center"/>
    </xf>
    <xf numFmtId="9" fontId="19" fillId="8" borderId="30" xfId="0" applyNumberFormat="1" applyFont="1" applyFill="1" applyBorder="1" applyAlignment="1">
      <alignment horizontal="center" vertical="center"/>
    </xf>
    <xf numFmtId="9" fontId="19" fillId="0" borderId="0" xfId="2" applyFont="1" applyBorder="1" applyAlignment="1" applyProtection="1">
      <alignment horizontal="center"/>
    </xf>
    <xf numFmtId="9" fontId="24" fillId="8" borderId="30" xfId="0" applyNumberFormat="1" applyFont="1" applyFill="1" applyBorder="1" applyAlignment="1">
      <alignment horizontal="center" vertical="center" wrapText="1"/>
    </xf>
    <xf numFmtId="166" fontId="19" fillId="0" borderId="0" xfId="1" applyNumberFormat="1" applyFont="1" applyFill="1" applyBorder="1" applyAlignment="1" applyProtection="1"/>
    <xf numFmtId="9" fontId="19" fillId="0" borderId="0" xfId="2" applyFont="1" applyFill="1" applyBorder="1" applyAlignment="1" applyProtection="1">
      <alignment horizontal="center"/>
    </xf>
    <xf numFmtId="9" fontId="19" fillId="0" borderId="7" xfId="2" applyFont="1" applyFill="1" applyBorder="1" applyAlignment="1" applyProtection="1">
      <alignment horizontal="center"/>
    </xf>
    <xf numFmtId="164" fontId="19" fillId="0" borderId="0" xfId="1" applyNumberFormat="1" applyFont="1" applyFill="1" applyBorder="1" applyAlignment="1" applyProtection="1">
      <alignment horizontal="center" vertical="center"/>
    </xf>
    <xf numFmtId="2" fontId="19" fillId="0" borderId="0" xfId="0" applyNumberFormat="1" applyFont="1"/>
    <xf numFmtId="0" fontId="19" fillId="8" borderId="19" xfId="0" applyFont="1" applyFill="1" applyBorder="1" applyAlignment="1">
      <alignment horizontal="center" vertical="center" wrapText="1"/>
    </xf>
    <xf numFmtId="0" fontId="19" fillId="8" borderId="20" xfId="0" applyFont="1" applyFill="1" applyBorder="1" applyAlignment="1">
      <alignment horizontal="center" vertical="center" wrapText="1"/>
    </xf>
    <xf numFmtId="9" fontId="19" fillId="0" borderId="0" xfId="0" applyNumberFormat="1" applyFont="1"/>
    <xf numFmtId="0" fontId="19" fillId="6" borderId="30" xfId="0" applyFont="1" applyFill="1" applyBorder="1" applyAlignment="1" applyProtection="1">
      <alignment horizontal="center" vertical="center"/>
      <protection locked="0"/>
    </xf>
    <xf numFmtId="0" fontId="24" fillId="8" borderId="30" xfId="0" applyFont="1" applyFill="1" applyBorder="1" applyAlignment="1">
      <alignment horizontal="center" vertical="center" wrapText="1"/>
    </xf>
    <xf numFmtId="0" fontId="19" fillId="0" borderId="0" xfId="0" applyFont="1" applyAlignment="1">
      <alignment horizontal="left"/>
    </xf>
    <xf numFmtId="169" fontId="19" fillId="0" borderId="0" xfId="0" applyNumberFormat="1" applyFont="1"/>
    <xf numFmtId="0" fontId="24" fillId="0" borderId="34"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36" xfId="0" applyFont="1" applyBorder="1" applyAlignment="1">
      <alignment horizontal="center" vertical="center" wrapText="1"/>
    </xf>
    <xf numFmtId="9" fontId="19" fillId="8" borderId="37" xfId="2" applyFont="1" applyFill="1" applyBorder="1" applyAlignment="1" applyProtection="1">
      <alignment horizontal="center"/>
    </xf>
    <xf numFmtId="0" fontId="19" fillId="8" borderId="38" xfId="2" applyNumberFormat="1" applyFont="1" applyFill="1" applyBorder="1" applyAlignment="1" applyProtection="1">
      <alignment horizontal="center"/>
    </xf>
    <xf numFmtId="2" fontId="19" fillId="8" borderId="38" xfId="2" applyNumberFormat="1" applyFont="1" applyFill="1" applyBorder="1" applyAlignment="1" applyProtection="1">
      <alignment horizontal="center"/>
    </xf>
    <xf numFmtId="9" fontId="19" fillId="8" borderId="39" xfId="2" applyFont="1" applyFill="1" applyBorder="1" applyAlignment="1" applyProtection="1">
      <alignment horizontal="center"/>
    </xf>
    <xf numFmtId="9" fontId="21" fillId="0" borderId="40" xfId="2" applyFont="1" applyFill="1" applyBorder="1" applyAlignment="1" applyProtection="1">
      <alignment horizontal="center"/>
    </xf>
    <xf numFmtId="2" fontId="19" fillId="8" borderId="41" xfId="2" applyNumberFormat="1" applyFont="1" applyFill="1" applyBorder="1" applyAlignment="1" applyProtection="1">
      <alignment horizontal="center"/>
    </xf>
    <xf numFmtId="0" fontId="19" fillId="0" borderId="42" xfId="0" applyFont="1" applyBorder="1" applyAlignment="1">
      <alignment horizontal="left" vertical="center"/>
    </xf>
    <xf numFmtId="0" fontId="19" fillId="0" borderId="43" xfId="0" applyFont="1" applyBorder="1" applyAlignment="1">
      <alignment horizontal="center" vertical="center"/>
    </xf>
    <xf numFmtId="0" fontId="19" fillId="8" borderId="44" xfId="0" applyFont="1" applyFill="1" applyBorder="1" applyAlignment="1">
      <alignment horizontal="center" vertical="center" wrapText="1"/>
    </xf>
    <xf numFmtId="0" fontId="19" fillId="0" borderId="45" xfId="0" applyFont="1" applyBorder="1" applyAlignment="1">
      <alignment horizontal="left" vertical="center"/>
    </xf>
    <xf numFmtId="0" fontId="19" fillId="6" borderId="46" xfId="0" applyFont="1" applyFill="1" applyBorder="1" applyAlignment="1" applyProtection="1">
      <alignment horizontal="center" vertical="center" wrapText="1"/>
      <protection locked="0"/>
    </xf>
    <xf numFmtId="0" fontId="19" fillId="0" borderId="45" xfId="0" applyFont="1" applyBorder="1"/>
    <xf numFmtId="0" fontId="19" fillId="0" borderId="47" xfId="0" applyFont="1" applyBorder="1"/>
    <xf numFmtId="0" fontId="19" fillId="0" borderId="33" xfId="0" applyFont="1" applyBorder="1"/>
    <xf numFmtId="0" fontId="21" fillId="10" borderId="0" xfId="0" applyFont="1" applyFill="1" applyAlignment="1">
      <alignment horizontal="center" vertical="center"/>
    </xf>
    <xf numFmtId="2" fontId="24" fillId="10" borderId="0" xfId="0" applyNumberFormat="1" applyFont="1" applyFill="1" applyAlignment="1" applyProtection="1">
      <alignment horizontal="center" vertical="center"/>
      <protection locked="0"/>
    </xf>
    <xf numFmtId="2" fontId="37" fillId="10" borderId="0" xfId="0" applyNumberFormat="1" applyFont="1" applyFill="1" applyAlignment="1">
      <alignment horizontal="center" vertical="center"/>
    </xf>
    <xf numFmtId="165" fontId="37" fillId="10" borderId="7" xfId="2" applyNumberFormat="1" applyFont="1" applyFill="1" applyBorder="1" applyAlignment="1" applyProtection="1">
      <alignment horizontal="center" vertical="center"/>
    </xf>
    <xf numFmtId="0" fontId="19" fillId="10" borderId="6" xfId="0" applyFont="1" applyFill="1" applyBorder="1" applyAlignment="1">
      <alignment vertical="center"/>
    </xf>
    <xf numFmtId="0" fontId="26" fillId="10" borderId="0" xfId="0" applyFont="1" applyFill="1" applyAlignment="1">
      <alignment vertical="center"/>
    </xf>
    <xf numFmtId="0" fontId="26" fillId="10" borderId="6" xfId="0" applyFont="1" applyFill="1" applyBorder="1" applyAlignment="1">
      <alignment vertical="center"/>
    </xf>
    <xf numFmtId="0" fontId="19" fillId="10" borderId="0" xfId="0" applyFont="1" applyFill="1" applyAlignment="1">
      <alignment horizontal="center" vertical="center" wrapText="1"/>
    </xf>
    <xf numFmtId="0" fontId="19" fillId="10" borderId="7" xfId="0" applyFont="1" applyFill="1" applyBorder="1" applyAlignment="1">
      <alignment horizontal="center" vertical="center" wrapText="1"/>
    </xf>
    <xf numFmtId="1" fontId="19" fillId="0" borderId="0" xfId="0" applyNumberFormat="1" applyFont="1"/>
    <xf numFmtId="0" fontId="56" fillId="0" borderId="30" xfId="0" applyFont="1" applyBorder="1" applyAlignment="1">
      <alignment horizontal="center" vertical="center"/>
    </xf>
    <xf numFmtId="0" fontId="56" fillId="0" borderId="30" xfId="0" applyFont="1" applyBorder="1" applyAlignment="1">
      <alignment horizontal="center" vertical="center" wrapText="1"/>
    </xf>
    <xf numFmtId="0" fontId="56" fillId="0" borderId="0" xfId="0" applyFont="1"/>
    <xf numFmtId="0" fontId="54" fillId="0" borderId="0" xfId="0" applyFont="1"/>
    <xf numFmtId="0" fontId="56" fillId="14" borderId="30" xfId="0" applyFont="1" applyFill="1" applyBorder="1" applyAlignment="1">
      <alignment horizontal="center" vertical="center"/>
    </xf>
    <xf numFmtId="0" fontId="58" fillId="13" borderId="30" xfId="0" applyFont="1" applyFill="1" applyBorder="1" applyAlignment="1">
      <alignment horizontal="center" vertical="center"/>
    </xf>
    <xf numFmtId="0" fontId="58" fillId="14" borderId="30" xfId="0" applyFont="1" applyFill="1" applyBorder="1" applyAlignment="1">
      <alignment horizontal="center" vertical="center"/>
    </xf>
    <xf numFmtId="0" fontId="59" fillId="14" borderId="30" xfId="0" applyFont="1" applyFill="1" applyBorder="1" applyAlignment="1">
      <alignment horizontal="center" vertical="center"/>
    </xf>
    <xf numFmtId="0" fontId="59" fillId="13" borderId="30" xfId="0" applyFont="1" applyFill="1" applyBorder="1" applyAlignment="1">
      <alignment horizontal="center" vertical="center" wrapText="1"/>
    </xf>
    <xf numFmtId="0" fontId="59" fillId="13" borderId="51" xfId="0" applyFont="1" applyFill="1" applyBorder="1" applyAlignment="1">
      <alignment horizontal="center" vertical="center" wrapText="1"/>
    </xf>
    <xf numFmtId="0" fontId="59" fillId="13" borderId="52" xfId="0" applyFont="1" applyFill="1" applyBorder="1" applyAlignment="1">
      <alignment horizontal="center" vertical="center"/>
    </xf>
    <xf numFmtId="0" fontId="58" fillId="13" borderId="30" xfId="0" applyFont="1" applyFill="1" applyBorder="1" applyAlignment="1">
      <alignment horizontal="center" vertical="center" wrapText="1"/>
    </xf>
    <xf numFmtId="0" fontId="56" fillId="0" borderId="50" xfId="0" applyFont="1" applyBorder="1" applyAlignment="1">
      <alignment horizontal="left" vertical="center"/>
    </xf>
    <xf numFmtId="0" fontId="56" fillId="14" borderId="53" xfId="0" applyFont="1" applyFill="1" applyBorder="1" applyAlignment="1">
      <alignment horizontal="center" vertical="center"/>
    </xf>
    <xf numFmtId="0" fontId="56" fillId="0" borderId="53" xfId="0" applyFont="1" applyBorder="1" applyAlignment="1">
      <alignment horizontal="center" vertical="center"/>
    </xf>
    <xf numFmtId="0" fontId="58" fillId="13" borderId="33" xfId="0" applyFont="1" applyFill="1" applyBorder="1" applyAlignment="1">
      <alignment horizontal="center" vertical="center"/>
    </xf>
    <xf numFmtId="0" fontId="56" fillId="0" borderId="43" xfId="0" applyFont="1" applyBorder="1" applyAlignment="1">
      <alignment horizontal="center" vertical="center" wrapText="1"/>
    </xf>
    <xf numFmtId="0" fontId="56" fillId="14" borderId="33" xfId="0" applyFont="1" applyFill="1" applyBorder="1" applyAlignment="1">
      <alignment horizontal="center" vertical="center"/>
    </xf>
    <xf numFmtId="0" fontId="56" fillId="14" borderId="43" xfId="0" applyFont="1" applyFill="1" applyBorder="1" applyAlignment="1">
      <alignment horizontal="center" vertical="center"/>
    </xf>
    <xf numFmtId="0" fontId="56" fillId="14" borderId="43" xfId="0" applyFont="1" applyFill="1" applyBorder="1" applyAlignment="1">
      <alignment horizontal="center" vertical="center" wrapText="1"/>
    </xf>
    <xf numFmtId="0" fontId="59" fillId="14" borderId="30" xfId="0" quotePrefix="1" applyFont="1" applyFill="1" applyBorder="1" applyAlignment="1">
      <alignment horizontal="center" vertical="center"/>
    </xf>
    <xf numFmtId="0" fontId="19" fillId="14" borderId="30" xfId="0" applyFont="1" applyFill="1" applyBorder="1" applyAlignment="1">
      <alignment horizontal="center"/>
    </xf>
    <xf numFmtId="0" fontId="19" fillId="14" borderId="30" xfId="0" applyFont="1" applyFill="1" applyBorder="1" applyAlignment="1">
      <alignment horizontal="center" vertical="center"/>
    </xf>
    <xf numFmtId="0" fontId="19" fillId="14" borderId="54" xfId="0" applyFont="1" applyFill="1" applyBorder="1" applyAlignment="1">
      <alignment horizontal="center" vertical="center"/>
    </xf>
    <xf numFmtId="0" fontId="19" fillId="14" borderId="49" xfId="0" applyFont="1" applyFill="1" applyBorder="1" applyAlignment="1">
      <alignment horizontal="center" vertical="center"/>
    </xf>
    <xf numFmtId="0" fontId="7" fillId="0" borderId="0" xfId="0" quotePrefix="1" applyFont="1"/>
    <xf numFmtId="0" fontId="19" fillId="10" borderId="7" xfId="0" applyFont="1" applyFill="1" applyBorder="1" applyAlignment="1">
      <alignment vertical="center"/>
    </xf>
    <xf numFmtId="0" fontId="26" fillId="10" borderId="10" xfId="0" applyFont="1" applyFill="1" applyBorder="1" applyAlignment="1">
      <alignment vertical="center"/>
    </xf>
    <xf numFmtId="0" fontId="26" fillId="10" borderId="1" xfId="0" applyFont="1" applyFill="1" applyBorder="1" applyAlignment="1">
      <alignment horizontal="center" vertical="center"/>
    </xf>
    <xf numFmtId="0" fontId="26" fillId="10" borderId="1" xfId="0" applyFont="1" applyFill="1" applyBorder="1" applyAlignment="1">
      <alignment horizontal="center" vertical="center" wrapText="1"/>
    </xf>
    <xf numFmtId="0" fontId="26" fillId="10" borderId="8" xfId="0" applyFont="1" applyFill="1" applyBorder="1" applyAlignment="1">
      <alignment horizontal="center" vertical="center" wrapText="1"/>
    </xf>
    <xf numFmtId="0" fontId="24" fillId="10" borderId="6" xfId="0" applyFont="1" applyFill="1" applyBorder="1" applyAlignment="1">
      <alignment vertical="center"/>
    </xf>
    <xf numFmtId="0" fontId="24" fillId="10" borderId="0" xfId="0" applyFont="1" applyFill="1" applyAlignment="1">
      <alignment vertical="center"/>
    </xf>
    <xf numFmtId="0" fontId="24" fillId="10" borderId="7" xfId="0" applyFont="1" applyFill="1" applyBorder="1" applyAlignment="1">
      <alignment vertical="center"/>
    </xf>
    <xf numFmtId="0" fontId="19" fillId="10" borderId="0" xfId="0" applyFont="1" applyFill="1" applyAlignment="1">
      <alignment horizontal="center" vertical="center"/>
    </xf>
    <xf numFmtId="1" fontId="19" fillId="10" borderId="0" xfId="0" applyNumberFormat="1" applyFont="1" applyFill="1" applyAlignment="1">
      <alignment horizontal="center" vertical="center"/>
    </xf>
    <xf numFmtId="166" fontId="19" fillId="10" borderId="0" xfId="1" applyNumberFormat="1" applyFont="1" applyFill="1" applyBorder="1" applyAlignment="1" applyProtection="1">
      <alignment vertical="center"/>
    </xf>
    <xf numFmtId="166" fontId="19" fillId="10" borderId="0" xfId="1" applyNumberFormat="1" applyFont="1" applyFill="1" applyBorder="1" applyAlignment="1" applyProtection="1">
      <alignment horizontal="center" vertical="center"/>
    </xf>
    <xf numFmtId="0" fontId="30" fillId="10" borderId="6" xfId="0" applyFont="1" applyFill="1" applyBorder="1" applyAlignment="1">
      <alignment horizontal="center" vertical="center" wrapText="1"/>
    </xf>
    <xf numFmtId="0" fontId="19" fillId="10" borderId="0" xfId="0" applyFont="1" applyFill="1" applyAlignment="1">
      <alignment horizontal="left" vertical="center"/>
    </xf>
    <xf numFmtId="166" fontId="27" fillId="10" borderId="0" xfId="1" applyNumberFormat="1" applyFont="1" applyFill="1" applyBorder="1" applyAlignment="1" applyProtection="1">
      <alignment horizontal="center" vertical="center"/>
    </xf>
    <xf numFmtId="2" fontId="27" fillId="10" borderId="0" xfId="0" applyNumberFormat="1" applyFont="1" applyFill="1" applyAlignment="1">
      <alignment horizontal="center" vertical="center"/>
    </xf>
    <xf numFmtId="0" fontId="32" fillId="10" borderId="0" xfId="0" applyFont="1" applyFill="1" applyAlignment="1">
      <alignment horizontal="center" vertical="center"/>
    </xf>
    <xf numFmtId="166" fontId="19" fillId="10" borderId="7" xfId="1" applyNumberFormat="1" applyFont="1" applyFill="1" applyBorder="1" applyAlignment="1" applyProtection="1">
      <alignment horizontal="center" vertical="center"/>
    </xf>
    <xf numFmtId="0" fontId="19" fillId="10" borderId="1" xfId="0" applyFont="1" applyFill="1" applyBorder="1" applyAlignment="1">
      <alignment vertical="center"/>
    </xf>
    <xf numFmtId="0" fontId="19" fillId="10" borderId="1" xfId="0" applyFont="1" applyFill="1" applyBorder="1" applyAlignment="1">
      <alignment horizontal="center" vertical="center"/>
    </xf>
    <xf numFmtId="1" fontId="19" fillId="10" borderId="1" xfId="0" applyNumberFormat="1" applyFont="1" applyFill="1" applyBorder="1" applyAlignment="1">
      <alignment horizontal="center" vertical="center"/>
    </xf>
    <xf numFmtId="166" fontId="19" fillId="10" borderId="1" xfId="1" applyNumberFormat="1" applyFont="1" applyFill="1" applyBorder="1" applyAlignment="1" applyProtection="1">
      <alignment horizontal="center" vertical="center"/>
    </xf>
    <xf numFmtId="0" fontId="19" fillId="10" borderId="8" xfId="0" applyFont="1" applyFill="1" applyBorder="1" applyAlignment="1">
      <alignment vertical="center"/>
    </xf>
    <xf numFmtId="0" fontId="24" fillId="10" borderId="6" xfId="0" applyFont="1" applyFill="1" applyBorder="1" applyAlignment="1">
      <alignment horizontal="left" vertical="center"/>
    </xf>
    <xf numFmtId="0" fontId="19" fillId="10" borderId="10" xfId="0" applyFont="1" applyFill="1" applyBorder="1" applyAlignment="1">
      <alignment vertical="center"/>
    </xf>
    <xf numFmtId="0" fontId="24" fillId="10" borderId="0" xfId="0" applyFont="1" applyFill="1" applyAlignment="1">
      <alignment horizontal="left" vertical="center"/>
    </xf>
    <xf numFmtId="0" fontId="25" fillId="10" borderId="0" xfId="0" applyFont="1" applyFill="1" applyAlignment="1">
      <alignment horizontal="center" vertical="center"/>
    </xf>
    <xf numFmtId="0" fontId="19" fillId="10" borderId="7" xfId="0" applyFont="1" applyFill="1" applyBorder="1" applyAlignment="1">
      <alignment horizontal="center" vertical="center"/>
    </xf>
    <xf numFmtId="0" fontId="24" fillId="10" borderId="6" xfId="0" applyFont="1" applyFill="1" applyBorder="1" applyAlignment="1">
      <alignment horizontal="right" vertical="center"/>
    </xf>
    <xf numFmtId="0" fontId="24" fillId="10" borderId="0" xfId="0" applyFont="1" applyFill="1" applyAlignment="1">
      <alignment horizontal="center" vertical="center"/>
    </xf>
    <xf numFmtId="0" fontId="25" fillId="10" borderId="6" xfId="0" applyFont="1" applyFill="1" applyBorder="1" applyAlignment="1">
      <alignment horizontal="left" vertical="center"/>
    </xf>
    <xf numFmtId="0" fontId="19" fillId="10" borderId="17" xfId="0" applyFont="1" applyFill="1" applyBorder="1" applyAlignment="1">
      <alignment vertical="center"/>
    </xf>
    <xf numFmtId="0" fontId="24" fillId="10" borderId="17" xfId="0" applyFont="1" applyFill="1" applyBorder="1" applyAlignment="1">
      <alignment horizontal="left" vertical="center"/>
    </xf>
    <xf numFmtId="0" fontId="25" fillId="10" borderId="17" xfId="0" applyFont="1" applyFill="1" applyBorder="1" applyAlignment="1">
      <alignment horizontal="center" vertical="center"/>
    </xf>
    <xf numFmtId="0" fontId="19" fillId="10" borderId="18" xfId="0" applyFont="1" applyFill="1" applyBorder="1" applyAlignment="1">
      <alignment horizontal="center" vertical="center"/>
    </xf>
    <xf numFmtId="0" fontId="19" fillId="10" borderId="6" xfId="0" applyFont="1" applyFill="1" applyBorder="1"/>
    <xf numFmtId="0" fontId="24" fillId="10" borderId="6" xfId="0" applyFont="1" applyFill="1" applyBorder="1" applyAlignment="1">
      <alignment horizontal="center" vertical="center"/>
    </xf>
    <xf numFmtId="164" fontId="45" fillId="10" borderId="0" xfId="0" applyNumberFormat="1" applyFont="1" applyFill="1" applyAlignment="1">
      <alignment horizontal="center"/>
    </xf>
    <xf numFmtId="15" fontId="33" fillId="10" borderId="0" xfId="0" applyNumberFormat="1" applyFont="1" applyFill="1"/>
    <xf numFmtId="0" fontId="34" fillId="10" borderId="0" xfId="0" applyFont="1" applyFill="1" applyAlignment="1">
      <alignment horizontal="right"/>
    </xf>
    <xf numFmtId="168" fontId="34" fillId="10" borderId="7" xfId="0" applyNumberFormat="1" applyFont="1" applyFill="1" applyBorder="1" applyAlignment="1">
      <alignment horizontal="center" vertical="center"/>
    </xf>
    <xf numFmtId="0" fontId="36" fillId="10" borderId="0" xfId="0" applyFont="1" applyFill="1" applyAlignment="1">
      <alignment horizontal="center" vertical="center" wrapText="1"/>
    </xf>
    <xf numFmtId="0" fontId="25" fillId="10" borderId="0" xfId="0" applyFont="1" applyFill="1" applyAlignment="1">
      <alignment horizontal="left" vertical="center"/>
    </xf>
    <xf numFmtId="0" fontId="19" fillId="14" borderId="54" xfId="0" applyFont="1" applyFill="1" applyBorder="1" applyAlignment="1">
      <alignment horizontal="center"/>
    </xf>
    <xf numFmtId="0" fontId="19" fillId="14" borderId="49" xfId="0" applyFont="1" applyFill="1" applyBorder="1" applyAlignment="1">
      <alignment horizontal="center"/>
    </xf>
    <xf numFmtId="0" fontId="24" fillId="0" borderId="0" xfId="0" applyFont="1"/>
    <xf numFmtId="164" fontId="19" fillId="14" borderId="30" xfId="0" applyNumberFormat="1" applyFont="1" applyFill="1" applyBorder="1" applyAlignment="1">
      <alignment horizontal="center" vertical="center"/>
    </xf>
    <xf numFmtId="164" fontId="19" fillId="14" borderId="54" xfId="0" applyNumberFormat="1" applyFont="1" applyFill="1" applyBorder="1" applyAlignment="1">
      <alignment horizontal="center" vertical="center"/>
    </xf>
    <xf numFmtId="169" fontId="19" fillId="14" borderId="30" xfId="0" applyNumberFormat="1" applyFont="1" applyFill="1" applyBorder="1" applyAlignment="1">
      <alignment horizontal="center" vertical="center"/>
    </xf>
    <xf numFmtId="169" fontId="19" fillId="14" borderId="54" xfId="0" applyNumberFormat="1" applyFont="1" applyFill="1" applyBorder="1" applyAlignment="1">
      <alignment horizontal="center" vertical="center"/>
    </xf>
    <xf numFmtId="169" fontId="19" fillId="14" borderId="49" xfId="0" applyNumberFormat="1" applyFont="1" applyFill="1" applyBorder="1" applyAlignment="1">
      <alignment horizontal="center" vertical="center"/>
    </xf>
    <xf numFmtId="169" fontId="19" fillId="15" borderId="30" xfId="0" applyNumberFormat="1" applyFont="1" applyFill="1" applyBorder="1" applyAlignment="1">
      <alignment horizontal="center" vertical="center"/>
    </xf>
    <xf numFmtId="169" fontId="19" fillId="15" borderId="54" xfId="0" applyNumberFormat="1" applyFont="1" applyFill="1" applyBorder="1" applyAlignment="1">
      <alignment horizontal="center" vertical="center"/>
    </xf>
    <xf numFmtId="169" fontId="19" fillId="15" borderId="49" xfId="0" applyNumberFormat="1" applyFont="1" applyFill="1" applyBorder="1" applyAlignment="1">
      <alignment horizontal="center" vertical="center"/>
    </xf>
    <xf numFmtId="0" fontId="62" fillId="14" borderId="30" xfId="0" applyFont="1" applyFill="1" applyBorder="1" applyAlignment="1">
      <alignment horizontal="center" vertical="center"/>
    </xf>
    <xf numFmtId="165" fontId="19" fillId="14" borderId="30" xfId="0" applyNumberFormat="1" applyFont="1" applyFill="1" applyBorder="1" applyAlignment="1">
      <alignment horizontal="center" vertical="center"/>
    </xf>
    <xf numFmtId="165" fontId="19" fillId="14" borderId="49" xfId="0" applyNumberFormat="1" applyFont="1" applyFill="1" applyBorder="1" applyAlignment="1">
      <alignment horizontal="center" vertical="center"/>
    </xf>
    <xf numFmtId="165" fontId="19" fillId="14" borderId="30" xfId="0" applyNumberFormat="1" applyFont="1" applyFill="1" applyBorder="1" applyAlignment="1">
      <alignment horizontal="center"/>
    </xf>
    <xf numFmtId="165" fontId="19" fillId="14" borderId="49" xfId="0" applyNumberFormat="1" applyFont="1" applyFill="1" applyBorder="1" applyAlignment="1">
      <alignment horizontal="center"/>
    </xf>
    <xf numFmtId="1" fontId="61" fillId="0" borderId="0" xfId="0" applyNumberFormat="1" applyFont="1" applyAlignment="1" applyProtection="1">
      <alignment vertical="center"/>
      <protection locked="0"/>
    </xf>
    <xf numFmtId="0" fontId="61" fillId="0" borderId="0" xfId="0" applyFont="1" applyAlignment="1">
      <alignment vertical="center"/>
    </xf>
    <xf numFmtId="1" fontId="61" fillId="0" borderId="0" xfId="0" applyNumberFormat="1" applyFont="1" applyAlignment="1">
      <alignment vertical="center"/>
    </xf>
    <xf numFmtId="9" fontId="63" fillId="12" borderId="0" xfId="2" applyFont="1" applyFill="1" applyBorder="1" applyAlignment="1" applyProtection="1">
      <alignment horizontal="center"/>
    </xf>
    <xf numFmtId="9" fontId="64" fillId="0" borderId="0" xfId="2" applyFont="1" applyFill="1" applyBorder="1" applyAlignment="1" applyProtection="1">
      <alignment horizontal="center"/>
    </xf>
    <xf numFmtId="164" fontId="63" fillId="0" borderId="0" xfId="0" applyNumberFormat="1" applyFont="1" applyAlignment="1">
      <alignment horizontal="center"/>
    </xf>
    <xf numFmtId="166" fontId="63" fillId="0" borderId="0" xfId="1" applyNumberFormat="1" applyFont="1" applyFill="1" applyBorder="1" applyAlignment="1" applyProtection="1"/>
    <xf numFmtId="9" fontId="63" fillId="0" borderId="0" xfId="2" applyFont="1" applyFill="1" applyBorder="1" applyAlignment="1" applyProtection="1">
      <alignment horizontal="center"/>
    </xf>
    <xf numFmtId="165" fontId="63" fillId="0" borderId="7" xfId="2" applyNumberFormat="1" applyFont="1" applyBorder="1" applyAlignment="1" applyProtection="1">
      <alignment horizontal="center"/>
    </xf>
    <xf numFmtId="9" fontId="63" fillId="0" borderId="0" xfId="2" applyFont="1" applyBorder="1" applyAlignment="1" applyProtection="1">
      <alignment horizontal="center"/>
    </xf>
    <xf numFmtId="165" fontId="19" fillId="0" borderId="0" xfId="2" applyNumberFormat="1" applyFont="1" applyFill="1" applyBorder="1" applyAlignment="1" applyProtection="1">
      <alignment horizontal="center"/>
    </xf>
    <xf numFmtId="165" fontId="63" fillId="0" borderId="0" xfId="2" applyNumberFormat="1" applyFont="1" applyFill="1" applyBorder="1" applyAlignment="1" applyProtection="1">
      <alignment horizontal="center"/>
    </xf>
    <xf numFmtId="0" fontId="19" fillId="10" borderId="0" xfId="0" applyFont="1" applyFill="1" applyAlignment="1">
      <alignment horizontal="left" vertical="center" wrapText="1"/>
    </xf>
    <xf numFmtId="164" fontId="61" fillId="0" borderId="0" xfId="0" applyNumberFormat="1" applyFont="1" applyAlignment="1" applyProtection="1">
      <alignment vertical="center"/>
      <protection locked="0"/>
    </xf>
    <xf numFmtId="0" fontId="58" fillId="14" borderId="30" xfId="0" applyFont="1" applyFill="1" applyBorder="1" applyAlignment="1">
      <alignment horizontal="center" vertical="center" wrapText="1"/>
    </xf>
    <xf numFmtId="0" fontId="24" fillId="10" borderId="7" xfId="0" applyFont="1" applyFill="1" applyBorder="1" applyAlignment="1">
      <alignment horizontal="center" vertical="center" wrapText="1"/>
    </xf>
    <xf numFmtId="0" fontId="6" fillId="3" borderId="0" xfId="0" applyFont="1" applyFill="1" applyAlignment="1">
      <alignment horizontal="center" vertical="center" wrapText="1"/>
    </xf>
    <xf numFmtId="2" fontId="24" fillId="8" borderId="2" xfId="0" applyNumberFormat="1" applyFont="1" applyFill="1" applyBorder="1" applyAlignment="1">
      <alignment horizontal="center" vertical="center"/>
    </xf>
    <xf numFmtId="0" fontId="24" fillId="8" borderId="0" xfId="0" applyFont="1" applyFill="1" applyAlignment="1">
      <alignment horizontal="center" vertical="center"/>
    </xf>
    <xf numFmtId="165" fontId="24" fillId="8" borderId="2" xfId="2" applyNumberFormat="1" applyFont="1" applyFill="1" applyBorder="1" applyAlignment="1" applyProtection="1">
      <alignment horizontal="center" vertical="center"/>
    </xf>
    <xf numFmtId="165" fontId="24" fillId="8" borderId="9" xfId="0" applyNumberFormat="1" applyFont="1" applyFill="1" applyBorder="1" applyAlignment="1">
      <alignment horizontal="center" vertical="center"/>
    </xf>
    <xf numFmtId="164" fontId="24" fillId="8" borderId="2" xfId="2" applyNumberFormat="1" applyFont="1" applyFill="1" applyBorder="1" applyAlignment="1" applyProtection="1">
      <alignment horizontal="center" vertical="center"/>
    </xf>
    <xf numFmtId="0" fontId="19" fillId="6" borderId="20" xfId="0" applyFont="1" applyFill="1" applyBorder="1" applyAlignment="1" applyProtection="1">
      <alignment horizontal="center" vertical="center" wrapText="1"/>
      <protection locked="0"/>
    </xf>
    <xf numFmtId="2" fontId="19" fillId="6" borderId="20" xfId="0" applyNumberFormat="1" applyFont="1" applyFill="1" applyBorder="1" applyAlignment="1" applyProtection="1">
      <alignment horizontal="center" vertical="center" wrapText="1"/>
      <protection locked="0"/>
    </xf>
    <xf numFmtId="9" fontId="19" fillId="10" borderId="0" xfId="2" applyFont="1" applyFill="1" applyAlignment="1" applyProtection="1">
      <alignment horizontal="center" vertical="center" wrapText="1"/>
      <protection locked="0"/>
    </xf>
    <xf numFmtId="0" fontId="19" fillId="14" borderId="30" xfId="0" applyFont="1" applyFill="1" applyBorder="1" applyAlignment="1">
      <alignment horizontal="center" vertical="center" wrapText="1"/>
    </xf>
    <xf numFmtId="0" fontId="56" fillId="14" borderId="53" xfId="0" applyFont="1" applyFill="1" applyBorder="1" applyAlignment="1">
      <alignment horizontal="center" vertical="center" wrapText="1"/>
    </xf>
    <xf numFmtId="0" fontId="56" fillId="0" borderId="53" xfId="0" applyFont="1" applyBorder="1" applyAlignment="1">
      <alignment horizontal="center" vertical="center" wrapText="1"/>
    </xf>
    <xf numFmtId="0" fontId="58" fillId="14" borderId="0" xfId="0" applyFont="1" applyFill="1" applyAlignment="1">
      <alignment horizontal="center" vertical="center"/>
    </xf>
    <xf numFmtId="169" fontId="19" fillId="14" borderId="30" xfId="0" quotePrefix="1" applyNumberFormat="1" applyFont="1" applyFill="1" applyBorder="1" applyAlignment="1">
      <alignment horizontal="center" vertical="center"/>
    </xf>
    <xf numFmtId="0" fontId="66" fillId="14" borderId="30" xfId="0" applyFont="1" applyFill="1" applyBorder="1" applyAlignment="1">
      <alignment horizontal="center" vertical="center"/>
    </xf>
    <xf numFmtId="0" fontId="66" fillId="14" borderId="30" xfId="0" applyFont="1" applyFill="1" applyBorder="1" applyAlignment="1">
      <alignment horizontal="center"/>
    </xf>
    <xf numFmtId="0" fontId="24" fillId="14" borderId="30" xfId="0" applyFont="1" applyFill="1" applyBorder="1" applyAlignment="1">
      <alignment horizontal="center" vertical="center"/>
    </xf>
    <xf numFmtId="0" fontId="24" fillId="0" borderId="0" xfId="0" applyFont="1" applyAlignment="1">
      <alignment horizontal="center" vertical="center"/>
    </xf>
    <xf numFmtId="0" fontId="56" fillId="14" borderId="0" xfId="0" applyFont="1" applyFill="1" applyAlignment="1">
      <alignment horizontal="center" vertical="center"/>
    </xf>
    <xf numFmtId="0" fontId="56" fillId="0" borderId="33" xfId="0" applyFont="1" applyBorder="1" applyAlignment="1">
      <alignment horizontal="center" vertical="center" wrapText="1"/>
    </xf>
    <xf numFmtId="2" fontId="67" fillId="8" borderId="2" xfId="0" applyNumberFormat="1" applyFont="1" applyFill="1" applyBorder="1" applyAlignment="1">
      <alignment horizontal="center" vertical="center"/>
    </xf>
    <xf numFmtId="9" fontId="21" fillId="8" borderId="9" xfId="2" applyFont="1" applyFill="1" applyBorder="1" applyAlignment="1">
      <alignment horizontal="center" vertical="center"/>
    </xf>
    <xf numFmtId="9" fontId="19" fillId="8" borderId="0" xfId="2" applyFont="1" applyFill="1" applyAlignment="1" applyProtection="1">
      <alignment horizontal="center" vertical="center" wrapText="1"/>
    </xf>
    <xf numFmtId="9" fontId="19" fillId="8" borderId="55" xfId="2" applyFont="1" applyFill="1" applyBorder="1" applyAlignment="1" applyProtection="1">
      <alignment horizontal="center" vertical="center" wrapText="1"/>
    </xf>
    <xf numFmtId="0" fontId="19" fillId="8" borderId="46" xfId="0" applyFont="1" applyFill="1" applyBorder="1" applyAlignment="1">
      <alignment horizontal="center" vertical="center" wrapText="1"/>
    </xf>
    <xf numFmtId="0" fontId="19" fillId="8" borderId="48" xfId="0" applyFont="1" applyFill="1" applyBorder="1" applyAlignment="1">
      <alignment horizontal="center"/>
    </xf>
    <xf numFmtId="0" fontId="68" fillId="14" borderId="30" xfId="0" applyFont="1" applyFill="1" applyBorder="1" applyAlignment="1">
      <alignment horizontal="center" vertical="center"/>
    </xf>
    <xf numFmtId="0" fontId="24" fillId="6" borderId="30" xfId="0" applyFont="1" applyFill="1" applyBorder="1" applyAlignment="1" applyProtection="1">
      <alignment horizontal="center" vertical="center" wrapText="1"/>
      <protection locked="0"/>
    </xf>
    <xf numFmtId="166" fontId="63" fillId="0" borderId="31" xfId="1" applyNumberFormat="1" applyFont="1" applyFill="1" applyBorder="1" applyAlignment="1" applyProtection="1"/>
    <xf numFmtId="165" fontId="63" fillId="0" borderId="31" xfId="2" applyNumberFormat="1" applyFont="1" applyFill="1" applyBorder="1" applyAlignment="1" applyProtection="1">
      <alignment horizontal="center"/>
    </xf>
    <xf numFmtId="9" fontId="63" fillId="0" borderId="56" xfId="2" applyFont="1" applyBorder="1" applyAlignment="1" applyProtection="1">
      <alignment horizontal="center"/>
    </xf>
    <xf numFmtId="9" fontId="64" fillId="0" borderId="31" xfId="2" applyFont="1" applyFill="1" applyBorder="1" applyAlignment="1" applyProtection="1">
      <alignment horizontal="center"/>
    </xf>
    <xf numFmtId="164" fontId="63" fillId="0" borderId="31" xfId="0" applyNumberFormat="1" applyFont="1" applyBorder="1" applyAlignment="1">
      <alignment horizontal="center"/>
    </xf>
    <xf numFmtId="9" fontId="63" fillId="0" borderId="31" xfId="2" applyFont="1" applyFill="1" applyBorder="1" applyAlignment="1" applyProtection="1">
      <alignment horizontal="center"/>
    </xf>
    <xf numFmtId="165" fontId="63" fillId="0" borderId="32" xfId="2" applyNumberFormat="1" applyFont="1" applyBorder="1" applyAlignment="1" applyProtection="1">
      <alignment horizontal="center"/>
    </xf>
    <xf numFmtId="0" fontId="19" fillId="6" borderId="30" xfId="0" applyFont="1" applyFill="1" applyBorder="1" applyAlignment="1" applyProtection="1">
      <alignment horizontal="center"/>
      <protection locked="0"/>
    </xf>
    <xf numFmtId="0" fontId="19" fillId="6" borderId="12" xfId="0" applyFont="1" applyFill="1" applyBorder="1" applyAlignment="1" applyProtection="1">
      <alignment horizontal="center" vertical="center"/>
      <protection locked="0"/>
    </xf>
    <xf numFmtId="0" fontId="19" fillId="6" borderId="13" xfId="0" applyFont="1" applyFill="1" applyBorder="1" applyAlignment="1" applyProtection="1">
      <alignment horizontal="center" vertical="center"/>
      <protection locked="0"/>
    </xf>
    <xf numFmtId="0" fontId="19" fillId="0" borderId="0" xfId="0" applyFont="1" applyAlignment="1">
      <alignment horizontal="center" vertical="center"/>
    </xf>
    <xf numFmtId="0" fontId="17" fillId="9" borderId="4" xfId="0" applyFont="1" applyFill="1" applyBorder="1" applyAlignment="1">
      <alignment horizontal="left" vertical="center" wrapText="1"/>
    </xf>
    <xf numFmtId="0" fontId="35" fillId="9" borderId="3" xfId="0" applyFont="1" applyFill="1" applyBorder="1" applyAlignment="1">
      <alignment horizontal="left" vertical="center" wrapText="1"/>
    </xf>
    <xf numFmtId="0" fontId="35" fillId="9" borderId="5" xfId="0" applyFont="1" applyFill="1" applyBorder="1" applyAlignment="1">
      <alignment horizontal="left" vertical="center" wrapText="1"/>
    </xf>
    <xf numFmtId="0" fontId="19" fillId="6" borderId="12" xfId="0" applyFont="1" applyFill="1" applyBorder="1" applyAlignment="1" applyProtection="1">
      <alignment horizontal="left" vertical="center"/>
      <protection locked="0"/>
    </xf>
    <xf numFmtId="0" fontId="19" fillId="6" borderId="13" xfId="0" applyFont="1" applyFill="1" applyBorder="1" applyAlignment="1" applyProtection="1">
      <alignment horizontal="left" vertical="center"/>
      <protection locked="0"/>
    </xf>
    <xf numFmtId="0" fontId="19" fillId="6" borderId="1" xfId="0" applyFont="1" applyFill="1" applyBorder="1" applyAlignment="1" applyProtection="1">
      <alignment horizontal="center" vertical="center"/>
      <protection locked="0"/>
    </xf>
    <xf numFmtId="0" fontId="19" fillId="6" borderId="8" xfId="0" applyFont="1" applyFill="1" applyBorder="1" applyAlignment="1" applyProtection="1">
      <alignment horizontal="center" vertical="center"/>
      <protection locked="0"/>
    </xf>
    <xf numFmtId="0" fontId="27" fillId="8" borderId="2" xfId="0" applyFont="1" applyFill="1" applyBorder="1" applyAlignment="1">
      <alignment horizontal="center" vertical="center"/>
    </xf>
    <xf numFmtId="9" fontId="19" fillId="6" borderId="1" xfId="2" applyFont="1" applyFill="1" applyBorder="1" applyAlignment="1" applyProtection="1">
      <alignment horizontal="center" vertical="center"/>
      <protection locked="0"/>
    </xf>
    <xf numFmtId="0" fontId="42" fillId="10" borderId="0" xfId="0" applyFont="1" applyFill="1" applyAlignment="1">
      <alignment horizontal="left" vertical="top" wrapText="1"/>
    </xf>
    <xf numFmtId="165" fontId="27" fillId="10" borderId="1" xfId="2" applyNumberFormat="1" applyFont="1" applyFill="1" applyBorder="1" applyAlignment="1" applyProtection="1">
      <alignment horizontal="center" vertical="center"/>
    </xf>
    <xf numFmtId="0" fontId="19" fillId="10" borderId="0" xfId="0" applyFont="1" applyFill="1" applyAlignment="1">
      <alignment horizontal="center" vertical="center"/>
    </xf>
    <xf numFmtId="2" fontId="27" fillId="8" borderId="1" xfId="0" applyNumberFormat="1" applyFont="1" applyFill="1" applyBorder="1" applyAlignment="1">
      <alignment horizontal="center" vertical="center"/>
    </xf>
    <xf numFmtId="2" fontId="21" fillId="8" borderId="1" xfId="0" applyNumberFormat="1" applyFont="1" applyFill="1" applyBorder="1" applyAlignment="1">
      <alignment horizontal="center" vertical="center"/>
    </xf>
    <xf numFmtId="2" fontId="21" fillId="8" borderId="8" xfId="0" applyNumberFormat="1" applyFont="1" applyFill="1" applyBorder="1" applyAlignment="1">
      <alignment horizontal="center" vertical="center"/>
    </xf>
    <xf numFmtId="0" fontId="0" fillId="8" borderId="1" xfId="0" applyFill="1" applyBorder="1" applyAlignment="1">
      <alignment horizontal="center" vertical="center"/>
    </xf>
    <xf numFmtId="0" fontId="19" fillId="8" borderId="1" xfId="0" applyFont="1" applyFill="1" applyBorder="1" applyAlignment="1">
      <alignment horizontal="center" vertical="center"/>
    </xf>
    <xf numFmtId="15" fontId="19" fillId="6" borderId="12" xfId="0" applyNumberFormat="1" applyFont="1" applyFill="1" applyBorder="1" applyAlignment="1" applyProtection="1">
      <alignment horizontal="left" vertical="center"/>
      <protection locked="0"/>
    </xf>
    <xf numFmtId="0" fontId="19" fillId="10" borderId="0" xfId="0" applyFont="1" applyFill="1" applyAlignment="1">
      <alignment horizontal="left" vertical="center" wrapText="1"/>
    </xf>
    <xf numFmtId="0" fontId="24" fillId="8" borderId="1" xfId="0" applyFont="1" applyFill="1" applyBorder="1" applyAlignment="1">
      <alignment horizontal="center" vertical="center"/>
    </xf>
    <xf numFmtId="0" fontId="0" fillId="8" borderId="2" xfId="0" applyFill="1" applyBorder="1" applyAlignment="1">
      <alignment horizontal="center" vertical="center"/>
    </xf>
    <xf numFmtId="0" fontId="24" fillId="8" borderId="2" xfId="0" applyFont="1" applyFill="1" applyBorder="1" applyAlignment="1">
      <alignment horizontal="center" vertical="center"/>
    </xf>
    <xf numFmtId="2" fontId="24" fillId="6" borderId="2" xfId="0" applyNumberFormat="1" applyFont="1" applyFill="1" applyBorder="1" applyAlignment="1" applyProtection="1">
      <alignment horizontal="center" vertical="center"/>
      <protection locked="0"/>
    </xf>
    <xf numFmtId="0" fontId="19" fillId="0" borderId="1" xfId="0" applyFont="1" applyBorder="1" applyAlignment="1">
      <alignment horizontal="center" vertical="center"/>
    </xf>
    <xf numFmtId="0" fontId="0" fillId="8" borderId="31" xfId="0" applyFill="1" applyBorder="1" applyAlignment="1">
      <alignment horizontal="center" vertical="center" wrapText="1"/>
    </xf>
    <xf numFmtId="0" fontId="19" fillId="8" borderId="31" xfId="0" applyFont="1" applyFill="1" applyBorder="1" applyAlignment="1">
      <alignment horizontal="center" vertical="center" wrapText="1"/>
    </xf>
    <xf numFmtId="0" fontId="19" fillId="8" borderId="32" xfId="0" applyFont="1" applyFill="1" applyBorder="1" applyAlignment="1">
      <alignment horizontal="center" vertical="center" wrapText="1"/>
    </xf>
    <xf numFmtId="0" fontId="19" fillId="10" borderId="0" xfId="0" applyFont="1" applyFill="1" applyAlignment="1">
      <alignment vertical="center" wrapText="1"/>
    </xf>
    <xf numFmtId="0" fontId="56" fillId="0" borderId="43" xfId="0" applyFont="1" applyBorder="1" applyAlignment="1">
      <alignment horizontal="left" vertical="center" wrapText="1"/>
    </xf>
    <xf numFmtId="0" fontId="56" fillId="0" borderId="0" xfId="0" applyFont="1" applyAlignment="1">
      <alignment horizontal="left" vertical="center" wrapText="1"/>
    </xf>
    <xf numFmtId="0" fontId="17" fillId="9" borderId="21" xfId="0" applyFont="1" applyFill="1" applyBorder="1" applyAlignment="1" applyProtection="1">
      <alignment horizontal="left" vertical="center" wrapText="1"/>
      <protection locked="0"/>
    </xf>
    <xf numFmtId="0" fontId="35" fillId="9" borderId="22" xfId="0" applyFont="1" applyFill="1" applyBorder="1" applyAlignment="1" applyProtection="1">
      <alignment horizontal="left" vertical="center" wrapText="1"/>
      <protection locked="0"/>
    </xf>
    <xf numFmtId="0" fontId="35" fillId="9" borderId="23" xfId="0" applyFont="1" applyFill="1" applyBorder="1" applyAlignment="1" applyProtection="1">
      <alignment horizontal="left" vertical="center" wrapText="1"/>
      <protection locked="0"/>
    </xf>
    <xf numFmtId="0" fontId="24" fillId="8" borderId="30" xfId="0" applyFont="1" applyFill="1" applyBorder="1" applyAlignment="1">
      <alignment horizontal="left" vertical="center" wrapText="1"/>
    </xf>
  </cellXfs>
  <cellStyles count="6">
    <cellStyle name="Comma" xfId="1" builtinId="3"/>
    <cellStyle name="Normal" xfId="0" builtinId="0"/>
    <cellStyle name="Normal 2" xfId="4" xr:uid="{87942DB3-6FA2-4F0C-ACE2-DD840DA76B25}"/>
    <cellStyle name="Normal 3" xfId="5" xr:uid="{209C75FB-56B3-4A05-9F3F-2B538D8B5B78}"/>
    <cellStyle name="Normal_NETEFFCY" xfId="3" xr:uid="{00000000-0005-0000-0000-000003000000}"/>
    <cellStyle name="Percent" xfId="2" builtinId="5"/>
  </cellStyles>
  <dxfs count="136">
    <dxf>
      <font>
        <color rgb="FFFF0000"/>
      </font>
      <fill>
        <patternFill>
          <bgColor theme="5" tint="0.79998168889431442"/>
        </patternFill>
      </fill>
    </dxf>
    <dxf>
      <font>
        <color theme="2" tint="-0.24994659260841701"/>
      </font>
      <fill>
        <patternFill>
          <bgColor theme="2" tint="-0.24994659260841701"/>
        </patternFill>
      </fill>
    </dxf>
    <dxf>
      <font>
        <color theme="0" tint="-0.24994659260841701"/>
      </font>
      <fill>
        <patternFill>
          <bgColor theme="0" tint="-0.24994659260841701"/>
        </patternFill>
      </fill>
    </dxf>
    <dxf>
      <font>
        <color theme="1"/>
      </font>
      <fill>
        <patternFill>
          <bgColor theme="4" tint="0.79998168889431442"/>
        </patternFill>
      </fill>
    </dxf>
    <dxf>
      <fill>
        <patternFill>
          <bgColor theme="4" tint="0.79998168889431442"/>
        </patternFill>
      </fill>
    </dxf>
    <dxf>
      <font>
        <color rgb="FFFF0000"/>
      </font>
      <fill>
        <patternFill>
          <bgColor theme="4" tint="0.79998168889431442"/>
        </patternFill>
      </fill>
    </dxf>
    <dxf>
      <font>
        <b val="0"/>
        <i val="0"/>
        <color rgb="FFFF0000"/>
      </font>
      <fill>
        <patternFill>
          <bgColor theme="4" tint="0.79998168889431442"/>
        </patternFill>
      </fill>
    </dxf>
    <dxf>
      <font>
        <b val="0"/>
        <i val="0"/>
      </font>
      <fill>
        <patternFill>
          <bgColor theme="4" tint="0.79998168889431442"/>
        </patternFill>
      </fill>
      <border>
        <vertical/>
        <horizontal/>
      </border>
    </dxf>
    <dxf>
      <font>
        <color theme="2" tint="-9.9948118533890809E-2"/>
      </font>
    </dxf>
    <dxf>
      <font>
        <color theme="2" tint="-9.9948118533890809E-2"/>
      </font>
    </dxf>
    <dxf>
      <font>
        <b/>
        <i/>
        <color rgb="FFFF0000"/>
      </font>
    </dxf>
    <dxf>
      <font>
        <b/>
        <i/>
        <color rgb="FFFF0000"/>
      </font>
    </dxf>
    <dxf>
      <font>
        <color rgb="FFFF0000"/>
      </font>
    </dxf>
    <dxf>
      <font>
        <color rgb="FF9C0006"/>
      </font>
      <fill>
        <patternFill>
          <bgColor rgb="FFFFC7CE"/>
        </patternFill>
      </fill>
    </dxf>
    <dxf>
      <font>
        <b val="0"/>
        <i val="0"/>
        <color rgb="FFFF0000"/>
      </font>
      <fill>
        <patternFill>
          <bgColor theme="5" tint="0.79998168889431442"/>
        </patternFill>
      </fill>
    </dxf>
    <dxf>
      <font>
        <color rgb="FF00B050"/>
      </font>
      <fill>
        <patternFill>
          <bgColor theme="0" tint="-4.9989318521683403E-2"/>
        </patternFill>
      </fill>
    </dxf>
    <dxf>
      <font>
        <b/>
        <i/>
        <color rgb="FFFF0000"/>
      </font>
    </dxf>
    <dxf>
      <font>
        <b/>
        <i/>
        <color rgb="FFFF0000"/>
      </font>
    </dxf>
    <dxf>
      <font>
        <b/>
        <i/>
        <color rgb="FFFF0000"/>
      </font>
    </dxf>
    <dxf>
      <font>
        <b/>
        <i/>
        <color rgb="FFFF0000"/>
      </font>
    </dxf>
    <dxf>
      <font>
        <b/>
        <i/>
        <color rgb="FFFF0000"/>
      </font>
    </dxf>
    <dxf>
      <font>
        <b/>
        <i/>
        <color rgb="FFFF0000"/>
      </font>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1"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solid">
          <fgColor theme="4"/>
          <bgColor theme="4"/>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sz val="10"/>
        <name val="Arial Rounded MT Bold"/>
        <family val="2"/>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z val="10"/>
        <name val="Arial Rounded MT Bold"/>
        <family val="2"/>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name val="Arial Rounded MT Bold"/>
        <family val="2"/>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name val="Arial Rounded MT Bold"/>
        <family val="2"/>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name val="Arial Rounded MT Bold"/>
        <family val="2"/>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name val="Arial Rounded MT Bold"/>
        <family val="2"/>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name val="Arial Rounded MT Bold"/>
        <family val="2"/>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name val="Arial Rounded MT Bold"/>
        <family val="2"/>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name val="Arial Rounded MT Bold"/>
        <family val="2"/>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name val="Arial Rounded MT Bold"/>
        <family val="2"/>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name val="Arial Rounded MT Bold"/>
        <family val="2"/>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Rounded MT Bold"/>
        <family val="2"/>
        <scheme val="none"/>
      </font>
      <numFmt numFmtId="169" formatCode="0.00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Rounded MT Bold"/>
        <family val="2"/>
        <scheme val="none"/>
      </font>
      <numFmt numFmtId="169" formatCode="0.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Rounded MT Bold"/>
        <family val="2"/>
        <scheme val="none"/>
      </font>
      <numFmt numFmtId="169" formatCode="0.00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Rounded MT Bold"/>
        <family val="2"/>
        <scheme val="none"/>
      </font>
      <numFmt numFmtId="169" formatCode="0.00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Rounded MT Bold"/>
        <family val="2"/>
        <scheme val="none"/>
      </font>
      <numFmt numFmtId="169" formatCode="0.00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Rounded MT Bold"/>
        <family val="2"/>
        <scheme val="none"/>
      </font>
      <numFmt numFmtId="169" formatCode="0.00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Rounded MT Bold"/>
        <family val="2"/>
        <scheme val="none"/>
      </font>
      <numFmt numFmtId="169" formatCode="0.00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Rounded MT Bold"/>
        <family val="2"/>
        <scheme val="none"/>
      </font>
      <numFmt numFmtId="169" formatCode="0.00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Rounded MT Bold"/>
        <family val="2"/>
        <scheme val="none"/>
      </font>
      <numFmt numFmtId="169" formatCode="0.00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Rounded MT Bold"/>
        <family val="2"/>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dxf>
    <dxf>
      <font>
        <strike val="0"/>
        <outline val="0"/>
        <shadow val="0"/>
        <u val="none"/>
        <color auto="1"/>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numFmt numFmtId="13" formatCode="0%"/>
    </dxf>
    <dxf>
      <font>
        <b val="0"/>
        <i val="0"/>
        <strike val="0"/>
        <condense val="0"/>
        <extend val="0"/>
        <outline val="0"/>
        <shadow val="0"/>
        <u val="none"/>
        <vertAlign val="baseline"/>
        <sz val="10"/>
        <color theme="1"/>
        <name val="Arial Rounded MT Bold"/>
        <scheme val="none"/>
      </font>
      <alignment horizontal="center" vertical="bottom" textRotation="0" wrapText="0" indent="0" justifyLastLine="0" shrinkToFit="0" readingOrder="0"/>
      <protection locked="1" hidden="0"/>
    </dxf>
    <dxf>
      <font>
        <b/>
        <i val="0"/>
        <strike val="0"/>
        <condense val="0"/>
        <extend val="0"/>
        <outline val="0"/>
        <shadow val="0"/>
        <u val="none"/>
        <vertAlign val="baseline"/>
        <sz val="10"/>
        <color theme="1"/>
        <name val="Arial Rounded MT Bold"/>
        <family val="2"/>
        <scheme val="none"/>
      </font>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theme="1"/>
        <name val="Arial Rounded MT Bold"/>
        <scheme val="none"/>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theme="1"/>
        <name val="Arial Rounded MT Bold"/>
        <scheme val="none"/>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theme="1"/>
        <name val="Arial Rounded MT Bold"/>
        <scheme val="none"/>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theme="1"/>
        <name val="Arial Rounded MT Bold"/>
        <scheme val="none"/>
      </font>
      <numFmt numFmtId="166" formatCode="_-* #,##0_-;\-* #,##0_-;_-* &quot;-&quot;??_-;_-@_-"/>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theme="1"/>
        <name val="Arial Rounded MT Bold"/>
        <scheme val="none"/>
      </font>
      <numFmt numFmtId="166" formatCode="_-* #,##0_-;\-* #,##0_-;_-* &quot;-&quot;??_-;_-@_-"/>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Arial Rounded MT Bold"/>
        <scheme val="none"/>
      </font>
      <numFmt numFmtId="1" formatCode="0"/>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Arial Rounded MT Bold"/>
        <scheme val="none"/>
      </font>
      <numFmt numFmtId="164" formatCode="0.0"/>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Arial Rounded MT Bold"/>
        <scheme val="none"/>
      </font>
      <numFmt numFmtId="165" formatCode="0.0%"/>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Arial Rounded MT Bold"/>
        <scheme val="none"/>
      </font>
      <numFmt numFmtId="13" formatCode="0%"/>
      <fill>
        <patternFill patternType="none">
          <fgColor indexed="64"/>
          <bgColor indexed="65"/>
        </patternFill>
      </fill>
      <alignment horizontal="center" vertical="bottom" textRotation="0" wrapText="0" indent="0" justifyLastLine="0" shrinkToFit="0" readingOrder="0"/>
      <protection locked="1" hidden="0"/>
    </dxf>
    <dxf>
      <font>
        <b val="0"/>
        <strike val="0"/>
        <outline val="0"/>
        <shadow val="0"/>
        <u val="none"/>
        <vertAlign val="baseline"/>
        <name val="Arial Rounded MT Bold"/>
        <scheme val="none"/>
      </font>
      <protection locked="1" hidden="0"/>
    </dxf>
    <dxf>
      <font>
        <b val="0"/>
        <i val="0"/>
        <strike val="0"/>
        <condense val="0"/>
        <extend val="0"/>
        <outline val="0"/>
        <shadow val="0"/>
        <u val="none"/>
        <vertAlign val="baseline"/>
        <sz val="10"/>
        <color auto="1"/>
        <name val="Arial Rounded MT Bold"/>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colors>
    <mruColors>
      <color rgb="FF92D050"/>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'FIG-Annual Summary'!$L$3</c:f>
          <c:strCache>
            <c:ptCount val="1"/>
            <c:pt idx="0">
              <c:v>Tested vs Design TSS Removal Performance - 
Area 0.5ha; Model DM-1500 (2.44m-D)</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Test Unit - TSS Removal</c:v>
          </c:tx>
          <c:spPr>
            <a:ln w="28575" cap="rnd">
              <a:solidFill>
                <a:schemeClr val="accent2"/>
              </a:solidFill>
              <a:prstDash val="dash"/>
              <a:round/>
            </a:ln>
            <a:effectLst/>
          </c:spPr>
          <c:marker>
            <c:symbol val="circle"/>
            <c:size val="8"/>
            <c:spPr>
              <a:solidFill>
                <a:schemeClr val="accent2"/>
              </a:solidFill>
              <a:ln w="12700">
                <a:noFill/>
              </a:ln>
              <a:effectLst/>
            </c:spPr>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accent2">
                        <a:lumMod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'Test Unit Summary'!$B$6:$B$13</c:f>
              <c:numCache>
                <c:formatCode>General</c:formatCode>
                <c:ptCount val="8"/>
                <c:pt idx="0">
                  <c:v>40</c:v>
                </c:pt>
                <c:pt idx="1">
                  <c:v>80</c:v>
                </c:pt>
                <c:pt idx="2">
                  <c:v>200</c:v>
                </c:pt>
                <c:pt idx="3">
                  <c:v>400</c:v>
                </c:pt>
                <c:pt idx="4">
                  <c:v>600</c:v>
                </c:pt>
                <c:pt idx="5">
                  <c:v>1000</c:v>
                </c:pt>
                <c:pt idx="6">
                  <c:v>1400</c:v>
                </c:pt>
                <c:pt idx="7">
                  <c:v>1800</c:v>
                </c:pt>
              </c:numCache>
            </c:numRef>
          </c:xVal>
          <c:yVal>
            <c:numRef>
              <c:f>'Test Unit Summary'!$C$6:$C$13</c:f>
              <c:numCache>
                <c:formatCode>0%</c:formatCode>
                <c:ptCount val="8"/>
                <c:pt idx="0">
                  <c:v>0.67700000000000005</c:v>
                </c:pt>
                <c:pt idx="1">
                  <c:v>0.63300000000000001</c:v>
                </c:pt>
                <c:pt idx="2">
                  <c:v>0.54899999999999993</c:v>
                </c:pt>
                <c:pt idx="3">
                  <c:v>0.45399999999999996</c:v>
                </c:pt>
                <c:pt idx="4">
                  <c:v>0.42100000000000004</c:v>
                </c:pt>
                <c:pt idx="5">
                  <c:v>0.35499999999999998</c:v>
                </c:pt>
                <c:pt idx="6">
                  <c:v>0.33600000000000002</c:v>
                </c:pt>
                <c:pt idx="7">
                  <c:v>0</c:v>
                </c:pt>
              </c:numCache>
            </c:numRef>
          </c:yVal>
          <c:smooth val="0"/>
          <c:extLst>
            <c:ext xmlns:c16="http://schemas.microsoft.com/office/drawing/2014/chart" uri="{C3380CC4-5D6E-409C-BE32-E72D297353CC}">
              <c16:uniqueId val="{00000000-F0A2-4C5F-86AB-F5A835D8DCC1}"/>
            </c:ext>
          </c:extLst>
        </c:ser>
        <c:ser>
          <c:idx val="1"/>
          <c:order val="1"/>
          <c:tx>
            <c:v>Design Condition - TSS Removal</c:v>
          </c:tx>
          <c:spPr>
            <a:ln w="25400" cap="rnd">
              <a:noFill/>
              <a:round/>
            </a:ln>
            <a:effectLst/>
          </c:spPr>
          <c:marker>
            <c:symbol val="square"/>
            <c:size val="9"/>
            <c:spPr>
              <a:solidFill>
                <a:schemeClr val="accent1">
                  <a:lumMod val="75000"/>
                </a:schemeClr>
              </a:solidFill>
              <a:ln w="12700">
                <a:noFill/>
              </a:ln>
              <a:effectLst/>
            </c:spPr>
          </c:marker>
          <c:xVal>
            <c:numRef>
              <c:f>'Performance Evaluation'!$F$66:$F$85</c:f>
              <c:numCache>
                <c:formatCode>_-* #,##0_-;\-* #,##0_-;_-* "-"??_-;_-@_-</c:formatCode>
                <c:ptCount val="20"/>
                <c:pt idx="0">
                  <c:v>18.094837871471441</c:v>
                </c:pt>
                <c:pt idx="1">
                  <c:v>20.878659082467042</c:v>
                </c:pt>
                <c:pt idx="2">
                  <c:v>23.662480293462654</c:v>
                </c:pt>
                <c:pt idx="3">
                  <c:v>27.838212109956064</c:v>
                </c:pt>
                <c:pt idx="4">
                  <c:v>32.013943926449471</c:v>
                </c:pt>
                <c:pt idx="5">
                  <c:v>36.189675742942882</c:v>
                </c:pt>
                <c:pt idx="6">
                  <c:v>40.365407559436292</c:v>
                </c:pt>
                <c:pt idx="7">
                  <c:v>45.933049981427494</c:v>
                </c:pt>
                <c:pt idx="8">
                  <c:v>52.892603008916517</c:v>
                </c:pt>
                <c:pt idx="9">
                  <c:v>58.460245430907726</c:v>
                </c:pt>
                <c:pt idx="10">
                  <c:v>66.811709063894526</c:v>
                </c:pt>
                <c:pt idx="11">
                  <c:v>75.163172696881361</c:v>
                </c:pt>
                <c:pt idx="12">
                  <c:v>84.906546935365981</c:v>
                </c:pt>
                <c:pt idx="13">
                  <c:v>98.825652990344011</c:v>
                </c:pt>
                <c:pt idx="14">
                  <c:v>114.13666965081984</c:v>
                </c:pt>
                <c:pt idx="15">
                  <c:v>141.97488176077587</c:v>
                </c:pt>
                <c:pt idx="16">
                  <c:v>175.38073629272316</c:v>
                </c:pt>
                <c:pt idx="17">
                  <c:v>226.88142869614191</c:v>
                </c:pt>
                <c:pt idx="18">
                  <c:v>321.53134986999248</c:v>
                </c:pt>
                <c:pt idx="19">
                  <c:v>489.95253313522664</c:v>
                </c:pt>
              </c:numCache>
            </c:numRef>
          </c:xVal>
          <c:yVal>
            <c:numRef>
              <c:f>'Performance Evaluation'!$G$66:$G$85</c:f>
              <c:numCache>
                <c:formatCode>0.0%</c:formatCode>
                <c:ptCount val="20"/>
                <c:pt idx="0">
                  <c:v>0.67700000000000005</c:v>
                </c:pt>
                <c:pt idx="1">
                  <c:v>0.67700000000000005</c:v>
                </c:pt>
                <c:pt idx="2">
                  <c:v>0.67700000000000005</c:v>
                </c:pt>
                <c:pt idx="3">
                  <c:v>0.67700000000000005</c:v>
                </c:pt>
                <c:pt idx="4">
                  <c:v>0.67700000000000005</c:v>
                </c:pt>
                <c:pt idx="5">
                  <c:v>0.67700000000000005</c:v>
                </c:pt>
                <c:pt idx="6">
                  <c:v>0.67659805168462017</c:v>
                </c:pt>
                <c:pt idx="7">
                  <c:v>0.67047364502042983</c:v>
                </c:pt>
                <c:pt idx="8">
                  <c:v>0.66281813669019185</c:v>
                </c:pt>
                <c:pt idx="9">
                  <c:v>0.65669373002600151</c:v>
                </c:pt>
                <c:pt idx="10">
                  <c:v>0.647507120029716</c:v>
                </c:pt>
                <c:pt idx="11">
                  <c:v>0.63832051003343049</c:v>
                </c:pt>
                <c:pt idx="12">
                  <c:v>0.62956541714524383</c:v>
                </c:pt>
                <c:pt idx="13">
                  <c:v>0.61982204290675924</c:v>
                </c:pt>
                <c:pt idx="14">
                  <c:v>0.60910433124442609</c:v>
                </c:pt>
                <c:pt idx="15">
                  <c:v>0.5896175827674569</c:v>
                </c:pt>
                <c:pt idx="16">
                  <c:v>0.56623348459509382</c:v>
                </c:pt>
                <c:pt idx="17">
                  <c:v>0.53623132136933249</c:v>
                </c:pt>
                <c:pt idx="18">
                  <c:v>0.4912726088117535</c:v>
                </c:pt>
                <c:pt idx="19">
                  <c:v>0.4391578320326876</c:v>
                </c:pt>
              </c:numCache>
            </c:numRef>
          </c:yVal>
          <c:smooth val="0"/>
          <c:extLst>
            <c:ext xmlns:c16="http://schemas.microsoft.com/office/drawing/2014/chart" uri="{C3380CC4-5D6E-409C-BE32-E72D297353CC}">
              <c16:uniqueId val="{00000003-6CAA-42DC-9E9D-E74B5E5ED488}"/>
            </c:ext>
          </c:extLst>
        </c:ser>
        <c:dLbls>
          <c:showLegendKey val="0"/>
          <c:showVal val="0"/>
          <c:showCatName val="0"/>
          <c:showSerName val="0"/>
          <c:showPercent val="0"/>
          <c:showBubbleSize val="0"/>
        </c:dLbls>
        <c:axId val="121944944"/>
        <c:axId val="318657984"/>
      </c:scatterChart>
      <c:scatterChart>
        <c:scatterStyle val="lineMarker"/>
        <c:varyColors val="0"/>
        <c:ser>
          <c:idx val="2"/>
          <c:order val="2"/>
          <c:tx>
            <c:v>Design SLR Distribution</c:v>
          </c:tx>
          <c:spPr>
            <a:ln w="38100" cap="rnd">
              <a:solidFill>
                <a:schemeClr val="accent6"/>
              </a:solidFill>
              <a:prstDash val="sysDot"/>
              <a:round/>
            </a:ln>
            <a:effectLst/>
          </c:spPr>
          <c:marker>
            <c:symbol val="circle"/>
            <c:size val="7"/>
            <c:spPr>
              <a:solidFill>
                <a:srgbClr val="92D050"/>
              </a:solidFill>
              <a:ln w="9525">
                <a:noFill/>
              </a:ln>
              <a:effectLst/>
            </c:spPr>
          </c:marker>
          <c:xVal>
            <c:numRef>
              <c:f>'Performance Evaluation'!$F$66:$F$85</c:f>
              <c:numCache>
                <c:formatCode>_-* #,##0_-;\-* #,##0_-;_-* "-"??_-;_-@_-</c:formatCode>
                <c:ptCount val="20"/>
                <c:pt idx="0">
                  <c:v>18.094837871471441</c:v>
                </c:pt>
                <c:pt idx="1">
                  <c:v>20.878659082467042</c:v>
                </c:pt>
                <c:pt idx="2">
                  <c:v>23.662480293462654</c:v>
                </c:pt>
                <c:pt idx="3">
                  <c:v>27.838212109956064</c:v>
                </c:pt>
                <c:pt idx="4">
                  <c:v>32.013943926449471</c:v>
                </c:pt>
                <c:pt idx="5">
                  <c:v>36.189675742942882</c:v>
                </c:pt>
                <c:pt idx="6">
                  <c:v>40.365407559436292</c:v>
                </c:pt>
                <c:pt idx="7">
                  <c:v>45.933049981427494</c:v>
                </c:pt>
                <c:pt idx="8">
                  <c:v>52.892603008916517</c:v>
                </c:pt>
                <c:pt idx="9">
                  <c:v>58.460245430907726</c:v>
                </c:pt>
                <c:pt idx="10">
                  <c:v>66.811709063894526</c:v>
                </c:pt>
                <c:pt idx="11">
                  <c:v>75.163172696881361</c:v>
                </c:pt>
                <c:pt idx="12">
                  <c:v>84.906546935365981</c:v>
                </c:pt>
                <c:pt idx="13">
                  <c:v>98.825652990344011</c:v>
                </c:pt>
                <c:pt idx="14">
                  <c:v>114.13666965081984</c:v>
                </c:pt>
                <c:pt idx="15">
                  <c:v>141.97488176077587</c:v>
                </c:pt>
                <c:pt idx="16">
                  <c:v>175.38073629272316</c:v>
                </c:pt>
                <c:pt idx="17">
                  <c:v>226.88142869614191</c:v>
                </c:pt>
                <c:pt idx="18">
                  <c:v>321.53134986999248</c:v>
                </c:pt>
                <c:pt idx="19">
                  <c:v>489.95253313522664</c:v>
                </c:pt>
              </c:numCache>
            </c:numRef>
          </c:xVal>
          <c:yVal>
            <c:numRef>
              <c:f>'Performance Evaluation'!$A$66:$A$85</c:f>
              <c:numCache>
                <c:formatCode>0%</c:formatCode>
                <c:ptCount val="20"/>
                <c:pt idx="0">
                  <c:v>0.05</c:v>
                </c:pt>
                <c:pt idx="1">
                  <c:v>0.1</c:v>
                </c:pt>
                <c:pt idx="2">
                  <c:v>0.15000000000000002</c:v>
                </c:pt>
                <c:pt idx="3">
                  <c:v>0.2</c:v>
                </c:pt>
                <c:pt idx="4">
                  <c:v>0.25</c:v>
                </c:pt>
                <c:pt idx="5">
                  <c:v>0.3</c:v>
                </c:pt>
                <c:pt idx="6">
                  <c:v>0.35</c:v>
                </c:pt>
                <c:pt idx="7">
                  <c:v>0.39999999999999997</c:v>
                </c:pt>
                <c:pt idx="8">
                  <c:v>0.44999999999999996</c:v>
                </c:pt>
                <c:pt idx="9">
                  <c:v>0.49999999999999994</c:v>
                </c:pt>
                <c:pt idx="10">
                  <c:v>0.54999999999999993</c:v>
                </c:pt>
                <c:pt idx="11">
                  <c:v>0.6</c:v>
                </c:pt>
                <c:pt idx="12">
                  <c:v>0.65</c:v>
                </c:pt>
                <c:pt idx="13">
                  <c:v>0.70000000000000007</c:v>
                </c:pt>
                <c:pt idx="14">
                  <c:v>0.75000000000000011</c:v>
                </c:pt>
                <c:pt idx="15">
                  <c:v>0.80000000000000016</c:v>
                </c:pt>
                <c:pt idx="16">
                  <c:v>0.8500000000000002</c:v>
                </c:pt>
                <c:pt idx="17">
                  <c:v>0.90000000000000024</c:v>
                </c:pt>
                <c:pt idx="18">
                  <c:v>0.95000000000000029</c:v>
                </c:pt>
                <c:pt idx="19">
                  <c:v>1.0000000000000002</c:v>
                </c:pt>
              </c:numCache>
            </c:numRef>
          </c:yVal>
          <c:smooth val="0"/>
          <c:extLst>
            <c:ext xmlns:c16="http://schemas.microsoft.com/office/drawing/2014/chart" uri="{C3380CC4-5D6E-409C-BE32-E72D297353CC}">
              <c16:uniqueId val="{00000002-6CAA-42DC-9E9D-E74B5E5ED488}"/>
            </c:ext>
          </c:extLst>
        </c:ser>
        <c:dLbls>
          <c:showLegendKey val="0"/>
          <c:showVal val="0"/>
          <c:showCatName val="0"/>
          <c:showSerName val="0"/>
          <c:showPercent val="0"/>
          <c:showBubbleSize val="0"/>
        </c:dLbls>
        <c:axId val="318651320"/>
        <c:axId val="318653280"/>
      </c:scatterChart>
      <c:valAx>
        <c:axId val="121944944"/>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bg1">
                  <a:lumMod val="85000"/>
                </a:schemeClr>
              </a:solidFill>
              <a:round/>
            </a:ln>
            <a:effectLst/>
          </c:spPr>
        </c:min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CA" b="1"/>
                  <a:t>Surface Loading Rate [L/min/m2]</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in"/>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8657984"/>
        <c:crosses val="autoZero"/>
        <c:crossBetween val="midCat"/>
        <c:minorUnit val="100"/>
      </c:valAx>
      <c:valAx>
        <c:axId val="318657984"/>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bg1">
                  <a:lumMod val="85000"/>
                </a:schemeClr>
              </a:solidFill>
              <a:round/>
            </a:ln>
            <a:effectLst/>
          </c:spPr>
        </c:minorGridlines>
        <c:title>
          <c:tx>
            <c:rich>
              <a:bodyPr rot="-5400000" spcFirstLastPara="1" vertOverflow="ellipsis" vert="horz" wrap="square" anchor="ctr" anchorCtr="1"/>
              <a:lstStyle/>
              <a:p>
                <a:pPr>
                  <a:defRPr sz="1000" b="1" i="0" u="none" strike="noStrike" kern="1200" baseline="0">
                    <a:solidFill>
                      <a:schemeClr val="accent2"/>
                    </a:solidFill>
                    <a:latin typeface="+mn-lt"/>
                    <a:ea typeface="+mn-ea"/>
                    <a:cs typeface="+mn-cs"/>
                  </a:defRPr>
                </a:pPr>
                <a:r>
                  <a:rPr lang="en-CA" b="1">
                    <a:solidFill>
                      <a:schemeClr val="accent2"/>
                    </a:solidFill>
                  </a:rPr>
                  <a:t>Evaluated % TSS</a:t>
                </a:r>
                <a:r>
                  <a:rPr lang="en-CA" b="1" baseline="0">
                    <a:solidFill>
                      <a:schemeClr val="accent2"/>
                    </a:solidFill>
                  </a:rPr>
                  <a:t> Removal</a:t>
                </a:r>
                <a:endParaRPr lang="en-CA" b="1">
                  <a:solidFill>
                    <a:schemeClr val="accent2"/>
                  </a:solidFill>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accent2"/>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900" b="0" i="0" u="none" strike="noStrike" kern="1200" baseline="0">
                <a:solidFill>
                  <a:schemeClr val="accent2"/>
                </a:solidFill>
                <a:latin typeface="+mn-lt"/>
                <a:ea typeface="+mn-ea"/>
                <a:cs typeface="+mn-cs"/>
              </a:defRPr>
            </a:pPr>
            <a:endParaRPr lang="en-US"/>
          </a:p>
        </c:txPr>
        <c:crossAx val="121944944"/>
        <c:crosses val="autoZero"/>
        <c:crossBetween val="midCat"/>
        <c:minorUnit val="5.000000000000001E-2"/>
      </c:valAx>
      <c:valAx>
        <c:axId val="318653280"/>
        <c:scaling>
          <c:orientation val="minMax"/>
          <c:max val="1"/>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b="1">
                    <a:solidFill>
                      <a:schemeClr val="accent6"/>
                    </a:solidFill>
                  </a:rPr>
                  <a:t>% Anniual</a:t>
                </a:r>
                <a:r>
                  <a:rPr lang="en-CA" b="1" baseline="0">
                    <a:solidFill>
                      <a:schemeClr val="accent6"/>
                    </a:solidFill>
                  </a:rPr>
                  <a:t> Average Rainfall Volume</a:t>
                </a:r>
                <a:endParaRPr lang="en-CA" b="1">
                  <a:solidFill>
                    <a:schemeClr val="accent6"/>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accent6"/>
                </a:solidFill>
                <a:latin typeface="+mn-lt"/>
                <a:ea typeface="+mn-ea"/>
                <a:cs typeface="+mn-cs"/>
              </a:defRPr>
            </a:pPr>
            <a:endParaRPr lang="en-US"/>
          </a:p>
        </c:txPr>
        <c:crossAx val="318651320"/>
        <c:crosses val="max"/>
        <c:crossBetween val="midCat"/>
      </c:valAx>
      <c:valAx>
        <c:axId val="318651320"/>
        <c:scaling>
          <c:orientation val="minMax"/>
        </c:scaling>
        <c:delete val="1"/>
        <c:axPos val="b"/>
        <c:numFmt formatCode="_-* #,##0_-;\-* #,##0_-;_-* &quot;-&quot;??_-;_-@_-" sourceLinked="1"/>
        <c:majorTickMark val="out"/>
        <c:minorTickMark val="none"/>
        <c:tickLblPos val="nextTo"/>
        <c:crossAx val="318653280"/>
        <c:crosses val="autoZero"/>
        <c:crossBetween val="midCat"/>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dTable>
      <c:spPr>
        <a:solidFill>
          <a:schemeClr val="bg1">
            <a:lumMod val="95000"/>
          </a:schemeClr>
        </a:solidFill>
        <a:ln w="19050">
          <a:solidFill>
            <a:schemeClr val="bg2">
              <a:lumMod val="75000"/>
            </a:schemeClr>
          </a:solidFill>
        </a:ln>
        <a:effectLst/>
      </c:spPr>
    </c:plotArea>
    <c:legend>
      <c:legendPos val="t"/>
      <c:overlay val="0"/>
      <c:spPr>
        <a:solidFill>
          <a:schemeClr val="bg1"/>
        </a:solidFill>
        <a:ln w="19050">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'FIG-Annual Summary'!$L$7</c:f>
          <c:strCache>
            <c:ptCount val="1"/>
            <c:pt idx="0">
              <c:v>Overall TSS Removal Summary - 
Area 0.5ha; Model DM-1500 (2.44m-D)</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4"/>
          <c:order val="1"/>
          <c:tx>
            <c:v>Cumulative Rainfall</c:v>
          </c:tx>
          <c:spPr>
            <a:ln w="28575" cap="rnd">
              <a:solidFill>
                <a:schemeClr val="accent6"/>
              </a:solidFill>
              <a:prstDash val="sysDot"/>
              <a:round/>
            </a:ln>
            <a:effectLst/>
          </c:spPr>
          <c:marker>
            <c:symbol val="circle"/>
            <c:size val="7"/>
            <c:spPr>
              <a:solidFill>
                <a:schemeClr val="accent6"/>
              </a:solidFill>
              <a:ln w="12700">
                <a:noFill/>
              </a:ln>
              <a:effectLst/>
            </c:spPr>
          </c:marker>
          <c:xVal>
            <c:numRef>
              <c:f>'FIG-Annual Summary'!$A$2:$A$21</c:f>
              <c:numCache>
                <c:formatCode>0.0</c:formatCode>
                <c:ptCount val="20"/>
                <c:pt idx="0">
                  <c:v>1.3</c:v>
                </c:pt>
                <c:pt idx="1">
                  <c:v>1.5</c:v>
                </c:pt>
                <c:pt idx="2">
                  <c:v>1.7</c:v>
                </c:pt>
                <c:pt idx="3">
                  <c:v>2</c:v>
                </c:pt>
                <c:pt idx="4">
                  <c:v>2.2999999999999998</c:v>
                </c:pt>
                <c:pt idx="5">
                  <c:v>2.6</c:v>
                </c:pt>
                <c:pt idx="6">
                  <c:v>2.9</c:v>
                </c:pt>
                <c:pt idx="7">
                  <c:v>3.3</c:v>
                </c:pt>
                <c:pt idx="8">
                  <c:v>3.8</c:v>
                </c:pt>
                <c:pt idx="9">
                  <c:v>4.2</c:v>
                </c:pt>
                <c:pt idx="10">
                  <c:v>4.8</c:v>
                </c:pt>
                <c:pt idx="11">
                  <c:v>5.4</c:v>
                </c:pt>
                <c:pt idx="12">
                  <c:v>6.1</c:v>
                </c:pt>
                <c:pt idx="13">
                  <c:v>7.1</c:v>
                </c:pt>
                <c:pt idx="14">
                  <c:v>8.1999999999999993</c:v>
                </c:pt>
                <c:pt idx="15">
                  <c:v>10.199999999999999</c:v>
                </c:pt>
                <c:pt idx="16">
                  <c:v>12.6</c:v>
                </c:pt>
                <c:pt idx="17">
                  <c:v>16.3</c:v>
                </c:pt>
                <c:pt idx="18">
                  <c:v>23.1</c:v>
                </c:pt>
                <c:pt idx="19">
                  <c:v>35.200000000000003</c:v>
                </c:pt>
              </c:numCache>
            </c:numRef>
          </c:xVal>
          <c:yVal>
            <c:numRef>
              <c:f>'FIG-Annual Summary'!$C$2:$C$21</c:f>
              <c:numCache>
                <c:formatCode>0%</c:formatCode>
                <c:ptCount val="20"/>
                <c:pt idx="0">
                  <c:v>0.05</c:v>
                </c:pt>
                <c:pt idx="1">
                  <c:v>0.1</c:v>
                </c:pt>
                <c:pt idx="2">
                  <c:v>0.15000000000000002</c:v>
                </c:pt>
                <c:pt idx="3">
                  <c:v>0.2</c:v>
                </c:pt>
                <c:pt idx="4">
                  <c:v>0.25</c:v>
                </c:pt>
                <c:pt idx="5">
                  <c:v>0.3</c:v>
                </c:pt>
                <c:pt idx="6">
                  <c:v>0.35</c:v>
                </c:pt>
                <c:pt idx="7">
                  <c:v>0.39999999999999997</c:v>
                </c:pt>
                <c:pt idx="8">
                  <c:v>0.44999999999999996</c:v>
                </c:pt>
                <c:pt idx="9">
                  <c:v>0.49999999999999994</c:v>
                </c:pt>
                <c:pt idx="10">
                  <c:v>0.54999999999999993</c:v>
                </c:pt>
                <c:pt idx="11">
                  <c:v>0.6</c:v>
                </c:pt>
                <c:pt idx="12">
                  <c:v>0.65</c:v>
                </c:pt>
                <c:pt idx="13">
                  <c:v>0.70000000000000007</c:v>
                </c:pt>
                <c:pt idx="14">
                  <c:v>0.75000000000000011</c:v>
                </c:pt>
                <c:pt idx="15">
                  <c:v>0.80000000000000016</c:v>
                </c:pt>
                <c:pt idx="16">
                  <c:v>0.8500000000000002</c:v>
                </c:pt>
                <c:pt idx="17">
                  <c:v>0.90000000000000024</c:v>
                </c:pt>
                <c:pt idx="18">
                  <c:v>0.95000000000000029</c:v>
                </c:pt>
                <c:pt idx="19">
                  <c:v>1.0000000000000002</c:v>
                </c:pt>
              </c:numCache>
            </c:numRef>
          </c:yVal>
          <c:smooth val="0"/>
          <c:extLst>
            <c:ext xmlns:c16="http://schemas.microsoft.com/office/drawing/2014/chart" uri="{C3380CC4-5D6E-409C-BE32-E72D297353CC}">
              <c16:uniqueId val="{00000004-D4D8-490B-8036-BA8A008C9BB2}"/>
            </c:ext>
          </c:extLst>
        </c:ser>
        <c:dLbls>
          <c:showLegendKey val="0"/>
          <c:showVal val="0"/>
          <c:showCatName val="0"/>
          <c:showSerName val="0"/>
          <c:showPercent val="0"/>
          <c:showBubbleSize val="0"/>
        </c:dLbls>
        <c:axId val="318656416"/>
        <c:axId val="318650928"/>
      </c:scatterChart>
      <c:scatterChart>
        <c:scatterStyle val="lineMarker"/>
        <c:varyColors val="0"/>
        <c:ser>
          <c:idx val="3"/>
          <c:order val="0"/>
          <c:tx>
            <c:v>Cumulative %TSS Removal</c:v>
          </c:tx>
          <c:spPr>
            <a:ln w="28575" cap="rnd">
              <a:solidFill>
                <a:schemeClr val="accent5"/>
              </a:solidFill>
              <a:prstDash val="sysDot"/>
              <a:round/>
            </a:ln>
            <a:effectLst/>
          </c:spPr>
          <c:marker>
            <c:symbol val="square"/>
            <c:size val="7"/>
            <c:spPr>
              <a:solidFill>
                <a:schemeClr val="accent1">
                  <a:lumMod val="75000"/>
                </a:schemeClr>
              </a:solidFill>
              <a:ln w="12700">
                <a:noFill/>
              </a:ln>
              <a:effectLst/>
            </c:spPr>
          </c:marker>
          <c:dLbls>
            <c:dLbl>
              <c:idx val="19"/>
              <c:layout>
                <c:manualLayout>
                  <c:x val="-0.11876871613313318"/>
                  <c:y val="0"/>
                </c:manualLayout>
              </c:layout>
              <c:spPr>
                <a:solidFill>
                  <a:sysClr val="window" lastClr="FFFFFF"/>
                </a:solidFill>
                <a:ln>
                  <a:noFill/>
                </a:ln>
                <a:effectLst/>
              </c:spPr>
              <c:txPr>
                <a:bodyPr rot="0" spcFirstLastPara="1" vertOverflow="clip" horzOverflow="clip" vert="horz" wrap="square" lIns="36576" tIns="18288" rIns="36576" bIns="18288" anchor="ctr" anchorCtr="1">
                  <a:spAutoFit/>
                </a:bodyPr>
                <a:lstStyle/>
                <a:p>
                  <a:pPr>
                    <a:defRPr sz="1100" b="1" i="0" u="none" strike="noStrike" kern="1200" baseline="0">
                      <a:solidFill>
                        <a:schemeClr val="accent1">
                          <a:lumMod val="7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oundRectCallout">
                      <a:avLst/>
                    </a:prstGeom>
                    <a:noFill/>
                    <a:ln>
                      <a:noFill/>
                    </a:ln>
                  </c15:spPr>
                </c:ext>
                <c:ext xmlns:c16="http://schemas.microsoft.com/office/drawing/2014/chart" uri="{C3380CC4-5D6E-409C-BE32-E72D297353CC}">
                  <c16:uniqueId val="{00000000-9BDD-4D81-83B3-33306F2ABB8F}"/>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accent1">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xVal>
            <c:numRef>
              <c:f>'FIG-Annual Summary'!$A$2:$A$21</c:f>
              <c:numCache>
                <c:formatCode>0.0</c:formatCode>
                <c:ptCount val="20"/>
                <c:pt idx="0">
                  <c:v>1.3</c:v>
                </c:pt>
                <c:pt idx="1">
                  <c:v>1.5</c:v>
                </c:pt>
                <c:pt idx="2">
                  <c:v>1.7</c:v>
                </c:pt>
                <c:pt idx="3">
                  <c:v>2</c:v>
                </c:pt>
                <c:pt idx="4">
                  <c:v>2.2999999999999998</c:v>
                </c:pt>
                <c:pt idx="5">
                  <c:v>2.6</c:v>
                </c:pt>
                <c:pt idx="6">
                  <c:v>2.9</c:v>
                </c:pt>
                <c:pt idx="7">
                  <c:v>3.3</c:v>
                </c:pt>
                <c:pt idx="8">
                  <c:v>3.8</c:v>
                </c:pt>
                <c:pt idx="9">
                  <c:v>4.2</c:v>
                </c:pt>
                <c:pt idx="10">
                  <c:v>4.8</c:v>
                </c:pt>
                <c:pt idx="11">
                  <c:v>5.4</c:v>
                </c:pt>
                <c:pt idx="12">
                  <c:v>6.1</c:v>
                </c:pt>
                <c:pt idx="13">
                  <c:v>7.1</c:v>
                </c:pt>
                <c:pt idx="14">
                  <c:v>8.1999999999999993</c:v>
                </c:pt>
                <c:pt idx="15">
                  <c:v>10.199999999999999</c:v>
                </c:pt>
                <c:pt idx="16">
                  <c:v>12.6</c:v>
                </c:pt>
                <c:pt idx="17">
                  <c:v>16.3</c:v>
                </c:pt>
                <c:pt idx="18">
                  <c:v>23.1</c:v>
                </c:pt>
                <c:pt idx="19">
                  <c:v>35.200000000000003</c:v>
                </c:pt>
              </c:numCache>
            </c:numRef>
          </c:xVal>
          <c:yVal>
            <c:numRef>
              <c:f>'FIG-Annual Summary'!$J$2:$J$21</c:f>
              <c:numCache>
                <c:formatCode>0.0%</c:formatCode>
                <c:ptCount val="20"/>
                <c:pt idx="0">
                  <c:v>3.3850000000000005E-2</c:v>
                </c:pt>
                <c:pt idx="1">
                  <c:v>6.770000000000001E-2</c:v>
                </c:pt>
                <c:pt idx="2">
                  <c:v>0.10155000000000002</c:v>
                </c:pt>
                <c:pt idx="3">
                  <c:v>0.13540000000000002</c:v>
                </c:pt>
                <c:pt idx="4">
                  <c:v>0.16925000000000001</c:v>
                </c:pt>
                <c:pt idx="5">
                  <c:v>0.2031</c:v>
                </c:pt>
                <c:pt idx="6">
                  <c:v>0.23692990258423102</c:v>
                </c:pt>
                <c:pt idx="7">
                  <c:v>0.2704535848352525</c:v>
                </c:pt>
                <c:pt idx="8">
                  <c:v>0.3035944916697621</c:v>
                </c:pt>
                <c:pt idx="9">
                  <c:v>0.33642917817106216</c:v>
                </c:pt>
                <c:pt idx="10">
                  <c:v>0.36880453417254794</c:v>
                </c:pt>
                <c:pt idx="11">
                  <c:v>0.40072055967421949</c:v>
                </c:pt>
                <c:pt idx="12">
                  <c:v>0.43219883053148167</c:v>
                </c:pt>
                <c:pt idx="13">
                  <c:v>0.46318993267681963</c:v>
                </c:pt>
                <c:pt idx="14">
                  <c:v>0.4936451492390409</c:v>
                </c:pt>
                <c:pt idx="15">
                  <c:v>0.52312602837741373</c:v>
                </c:pt>
                <c:pt idx="16">
                  <c:v>0.5514377026071684</c:v>
                </c:pt>
                <c:pt idx="17">
                  <c:v>0.57824926867563498</c:v>
                </c:pt>
                <c:pt idx="18">
                  <c:v>0.6028128991162226</c:v>
                </c:pt>
                <c:pt idx="19">
                  <c:v>0.62477079071785702</c:v>
                </c:pt>
              </c:numCache>
            </c:numRef>
          </c:yVal>
          <c:smooth val="0"/>
          <c:extLst>
            <c:ext xmlns:c16="http://schemas.microsoft.com/office/drawing/2014/chart" uri="{C3380CC4-5D6E-409C-BE32-E72D297353CC}">
              <c16:uniqueId val="{00000003-D4D8-490B-8036-BA8A008C9BB2}"/>
            </c:ext>
          </c:extLst>
        </c:ser>
        <c:ser>
          <c:idx val="0"/>
          <c:order val="2"/>
          <c:tx>
            <c:v>Water Quality Target</c:v>
          </c:tx>
          <c:spPr>
            <a:ln w="28575" cap="rnd">
              <a:solidFill>
                <a:schemeClr val="accent2"/>
              </a:solidFill>
              <a:prstDash val="sysDash"/>
              <a:round/>
            </a:ln>
            <a:effectLst/>
          </c:spPr>
          <c:marker>
            <c:symbol val="none"/>
          </c:marker>
          <c:xVal>
            <c:numRef>
              <c:f>'FIG-Annual Summary'!$A$2:$A$21</c:f>
              <c:numCache>
                <c:formatCode>0.0</c:formatCode>
                <c:ptCount val="20"/>
                <c:pt idx="0">
                  <c:v>1.3</c:v>
                </c:pt>
                <c:pt idx="1">
                  <c:v>1.5</c:v>
                </c:pt>
                <c:pt idx="2">
                  <c:v>1.7</c:v>
                </c:pt>
                <c:pt idx="3">
                  <c:v>2</c:v>
                </c:pt>
                <c:pt idx="4">
                  <c:v>2.2999999999999998</c:v>
                </c:pt>
                <c:pt idx="5">
                  <c:v>2.6</c:v>
                </c:pt>
                <c:pt idx="6">
                  <c:v>2.9</c:v>
                </c:pt>
                <c:pt idx="7">
                  <c:v>3.3</c:v>
                </c:pt>
                <c:pt idx="8">
                  <c:v>3.8</c:v>
                </c:pt>
                <c:pt idx="9">
                  <c:v>4.2</c:v>
                </c:pt>
                <c:pt idx="10">
                  <c:v>4.8</c:v>
                </c:pt>
                <c:pt idx="11">
                  <c:v>5.4</c:v>
                </c:pt>
                <c:pt idx="12">
                  <c:v>6.1</c:v>
                </c:pt>
                <c:pt idx="13">
                  <c:v>7.1</c:v>
                </c:pt>
                <c:pt idx="14">
                  <c:v>8.1999999999999993</c:v>
                </c:pt>
                <c:pt idx="15">
                  <c:v>10.199999999999999</c:v>
                </c:pt>
                <c:pt idx="16">
                  <c:v>12.6</c:v>
                </c:pt>
                <c:pt idx="17">
                  <c:v>16.3</c:v>
                </c:pt>
                <c:pt idx="18">
                  <c:v>23.1</c:v>
                </c:pt>
                <c:pt idx="19">
                  <c:v>35.200000000000003</c:v>
                </c:pt>
              </c:numCache>
            </c:numRef>
          </c:xVal>
          <c:yVal>
            <c:numRef>
              <c:f>'FIG-Annual Summary'!$A$26:$A$45</c:f>
              <c:numCache>
                <c:formatCode>0.0</c:formatCode>
                <c:ptCount val="20"/>
                <c:pt idx="0">
                  <c:v>0.6</c:v>
                </c:pt>
                <c:pt idx="1">
                  <c:v>0.6</c:v>
                </c:pt>
                <c:pt idx="2">
                  <c:v>0.6</c:v>
                </c:pt>
                <c:pt idx="3">
                  <c:v>0.6</c:v>
                </c:pt>
                <c:pt idx="4">
                  <c:v>0.6</c:v>
                </c:pt>
                <c:pt idx="5">
                  <c:v>0.6</c:v>
                </c:pt>
                <c:pt idx="6">
                  <c:v>0.6</c:v>
                </c:pt>
                <c:pt idx="7">
                  <c:v>0.6</c:v>
                </c:pt>
                <c:pt idx="8">
                  <c:v>0.6</c:v>
                </c:pt>
                <c:pt idx="9">
                  <c:v>0.6</c:v>
                </c:pt>
                <c:pt idx="10">
                  <c:v>0.6</c:v>
                </c:pt>
                <c:pt idx="11">
                  <c:v>0.6</c:v>
                </c:pt>
                <c:pt idx="12">
                  <c:v>0.6</c:v>
                </c:pt>
                <c:pt idx="13">
                  <c:v>0.6</c:v>
                </c:pt>
                <c:pt idx="14">
                  <c:v>0.6</c:v>
                </c:pt>
                <c:pt idx="15">
                  <c:v>0.6</c:v>
                </c:pt>
                <c:pt idx="16">
                  <c:v>0.6</c:v>
                </c:pt>
                <c:pt idx="17">
                  <c:v>0.6</c:v>
                </c:pt>
                <c:pt idx="18">
                  <c:v>0.6</c:v>
                </c:pt>
                <c:pt idx="19">
                  <c:v>0.6</c:v>
                </c:pt>
              </c:numCache>
            </c:numRef>
          </c:yVal>
          <c:smooth val="0"/>
          <c:extLst>
            <c:ext xmlns:c16="http://schemas.microsoft.com/office/drawing/2014/chart" uri="{C3380CC4-5D6E-409C-BE32-E72D297353CC}">
              <c16:uniqueId val="{00000001-CA1A-4EFE-BA2C-B7C33D998327}"/>
            </c:ext>
          </c:extLst>
        </c:ser>
        <c:dLbls>
          <c:showLegendKey val="0"/>
          <c:showVal val="0"/>
          <c:showCatName val="0"/>
          <c:showSerName val="0"/>
          <c:showPercent val="0"/>
          <c:showBubbleSize val="0"/>
        </c:dLbls>
        <c:axId val="318651712"/>
        <c:axId val="318650536"/>
      </c:scatterChart>
      <c:valAx>
        <c:axId val="318656416"/>
        <c:scaling>
          <c:orientation val="minMax"/>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bg1">
                  <a:lumMod val="85000"/>
                </a:schemeClr>
              </a:solidFill>
              <a:prstDash val="solid"/>
              <a:round/>
            </a:ln>
            <a:effectLst/>
          </c:spPr>
        </c:min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CA" b="1"/>
                  <a:t>Design Rainfall Intensity [mm/hr]</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in"/>
        <c:minorTickMark val="none"/>
        <c:tickLblPos val="nextTo"/>
        <c:spPr>
          <a:noFill/>
          <a:ln w="19050"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8650928"/>
        <c:crosses val="autoZero"/>
        <c:crossBetween val="midCat"/>
        <c:majorUnit val="5"/>
        <c:minorUnit val="1"/>
      </c:valAx>
      <c:valAx>
        <c:axId val="318650928"/>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bg1">
                  <a:lumMod val="85000"/>
                </a:schemeClr>
              </a:solidFill>
              <a:round/>
            </a:ln>
            <a:effectLst/>
          </c:spPr>
        </c:minorGridlines>
        <c:title>
          <c:tx>
            <c:rich>
              <a:bodyPr rot="-5400000" spcFirstLastPara="1" vertOverflow="ellipsis" vert="horz" wrap="square" anchor="ctr" anchorCtr="1"/>
              <a:lstStyle/>
              <a:p>
                <a:pPr>
                  <a:defRPr sz="1000" b="1" i="0" u="none" strike="noStrike" kern="1200" baseline="0">
                    <a:solidFill>
                      <a:schemeClr val="accent6"/>
                    </a:solidFill>
                    <a:latin typeface="+mn-lt"/>
                    <a:ea typeface="+mn-ea"/>
                    <a:cs typeface="+mn-cs"/>
                  </a:defRPr>
                </a:pPr>
                <a:r>
                  <a:rPr lang="en-CA" b="1">
                    <a:solidFill>
                      <a:schemeClr val="accent6"/>
                    </a:solidFill>
                  </a:rPr>
                  <a:t>% Average Annual Rainfall Volume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accent6"/>
                  </a:solidFill>
                  <a:latin typeface="+mn-lt"/>
                  <a:ea typeface="+mn-ea"/>
                  <a:cs typeface="+mn-cs"/>
                </a:defRPr>
              </a:pPr>
              <a:endParaRPr lang="en-US"/>
            </a:p>
          </c:txPr>
        </c:title>
        <c:numFmt formatCode="0%" sourceLinked="1"/>
        <c:majorTickMark val="in"/>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accent6"/>
                </a:solidFill>
                <a:latin typeface="+mn-lt"/>
                <a:ea typeface="+mn-ea"/>
                <a:cs typeface="+mn-cs"/>
              </a:defRPr>
            </a:pPr>
            <a:endParaRPr lang="en-US"/>
          </a:p>
        </c:txPr>
        <c:crossAx val="318656416"/>
        <c:crosses val="autoZero"/>
        <c:crossBetween val="midCat"/>
        <c:minorUnit val="5.000000000000001E-2"/>
      </c:valAx>
      <c:valAx>
        <c:axId val="318650536"/>
        <c:scaling>
          <c:orientation val="minMax"/>
          <c:max val="1"/>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b="1">
                    <a:solidFill>
                      <a:schemeClr val="accent1">
                        <a:lumMod val="75000"/>
                      </a:schemeClr>
                    </a:solidFill>
                  </a:rPr>
                  <a:t>% TSS Removal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75000"/>
                  </a:schemeClr>
                </a:solidFill>
                <a:latin typeface="+mn-lt"/>
                <a:ea typeface="+mn-ea"/>
                <a:cs typeface="+mn-cs"/>
              </a:defRPr>
            </a:pPr>
            <a:endParaRPr lang="en-US"/>
          </a:p>
        </c:txPr>
        <c:crossAx val="318651712"/>
        <c:crosses val="max"/>
        <c:crossBetween val="midCat"/>
      </c:valAx>
      <c:valAx>
        <c:axId val="318651712"/>
        <c:scaling>
          <c:orientation val="minMax"/>
        </c:scaling>
        <c:delete val="1"/>
        <c:axPos val="b"/>
        <c:numFmt formatCode="0.0" sourceLinked="1"/>
        <c:majorTickMark val="out"/>
        <c:minorTickMark val="none"/>
        <c:tickLblPos val="nextTo"/>
        <c:crossAx val="318650536"/>
        <c:crosses val="autoZero"/>
        <c:crossBetween val="midCat"/>
      </c:valAx>
      <c:spPr>
        <a:solidFill>
          <a:schemeClr val="bg1">
            <a:lumMod val="95000"/>
          </a:schemeClr>
        </a:solidFill>
        <a:ln w="25400">
          <a:solidFill>
            <a:schemeClr val="bg1">
              <a:lumMod val="65000"/>
            </a:schemeClr>
          </a:solid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4"/>
          <c:order val="0"/>
          <c:tx>
            <c:v>Cumulative Rainfall</c:v>
          </c:tx>
          <c:spPr>
            <a:ln w="28575" cap="rnd">
              <a:solidFill>
                <a:schemeClr val="accent6"/>
              </a:solidFill>
              <a:prstDash val="sysDot"/>
              <a:round/>
            </a:ln>
            <a:effectLst/>
          </c:spPr>
          <c:marker>
            <c:symbol val="circle"/>
            <c:size val="7"/>
            <c:spPr>
              <a:solidFill>
                <a:schemeClr val="accent6"/>
              </a:solidFill>
              <a:ln w="12700">
                <a:noFill/>
              </a:ln>
              <a:effectLst/>
            </c:spPr>
          </c:marker>
          <c:xVal>
            <c:numRef>
              <c:f>'FIG-Annual Summary'!$A$3:$A$21</c:f>
              <c:numCache>
                <c:formatCode>0.0</c:formatCode>
                <c:ptCount val="19"/>
                <c:pt idx="0">
                  <c:v>1.5</c:v>
                </c:pt>
                <c:pt idx="1">
                  <c:v>1.7</c:v>
                </c:pt>
                <c:pt idx="2">
                  <c:v>2</c:v>
                </c:pt>
                <c:pt idx="3">
                  <c:v>2.2999999999999998</c:v>
                </c:pt>
                <c:pt idx="4">
                  <c:v>2.6</c:v>
                </c:pt>
                <c:pt idx="5">
                  <c:v>2.9</c:v>
                </c:pt>
                <c:pt idx="6">
                  <c:v>3.3</c:v>
                </c:pt>
                <c:pt idx="7">
                  <c:v>3.8</c:v>
                </c:pt>
                <c:pt idx="8">
                  <c:v>4.2</c:v>
                </c:pt>
                <c:pt idx="9">
                  <c:v>4.8</c:v>
                </c:pt>
                <c:pt idx="10">
                  <c:v>5.4</c:v>
                </c:pt>
                <c:pt idx="11">
                  <c:v>6.1</c:v>
                </c:pt>
                <c:pt idx="12">
                  <c:v>7.1</c:v>
                </c:pt>
                <c:pt idx="13">
                  <c:v>8.1999999999999993</c:v>
                </c:pt>
                <c:pt idx="14">
                  <c:v>10.199999999999999</c:v>
                </c:pt>
                <c:pt idx="15">
                  <c:v>12.6</c:v>
                </c:pt>
                <c:pt idx="16">
                  <c:v>16.3</c:v>
                </c:pt>
                <c:pt idx="17">
                  <c:v>23.1</c:v>
                </c:pt>
                <c:pt idx="18">
                  <c:v>35.200000000000003</c:v>
                </c:pt>
              </c:numCache>
            </c:numRef>
          </c:xVal>
          <c:yVal>
            <c:numRef>
              <c:f>'FIG-Annual Summary'!$C$3:$C$21</c:f>
              <c:numCache>
                <c:formatCode>0%</c:formatCode>
                <c:ptCount val="19"/>
                <c:pt idx="0">
                  <c:v>0.1</c:v>
                </c:pt>
                <c:pt idx="1">
                  <c:v>0.15000000000000002</c:v>
                </c:pt>
                <c:pt idx="2">
                  <c:v>0.2</c:v>
                </c:pt>
                <c:pt idx="3">
                  <c:v>0.25</c:v>
                </c:pt>
                <c:pt idx="4">
                  <c:v>0.3</c:v>
                </c:pt>
                <c:pt idx="5">
                  <c:v>0.35</c:v>
                </c:pt>
                <c:pt idx="6">
                  <c:v>0.39999999999999997</c:v>
                </c:pt>
                <c:pt idx="7">
                  <c:v>0.44999999999999996</c:v>
                </c:pt>
                <c:pt idx="8">
                  <c:v>0.49999999999999994</c:v>
                </c:pt>
                <c:pt idx="9">
                  <c:v>0.54999999999999993</c:v>
                </c:pt>
                <c:pt idx="10">
                  <c:v>0.6</c:v>
                </c:pt>
                <c:pt idx="11">
                  <c:v>0.65</c:v>
                </c:pt>
                <c:pt idx="12">
                  <c:v>0.70000000000000007</c:v>
                </c:pt>
                <c:pt idx="13">
                  <c:v>0.75000000000000011</c:v>
                </c:pt>
                <c:pt idx="14">
                  <c:v>0.80000000000000016</c:v>
                </c:pt>
                <c:pt idx="15">
                  <c:v>0.8500000000000002</c:v>
                </c:pt>
                <c:pt idx="16">
                  <c:v>0.90000000000000024</c:v>
                </c:pt>
                <c:pt idx="17">
                  <c:v>0.95000000000000029</c:v>
                </c:pt>
                <c:pt idx="18">
                  <c:v>1.0000000000000002</c:v>
                </c:pt>
              </c:numCache>
            </c:numRef>
          </c:yVal>
          <c:smooth val="0"/>
          <c:extLst>
            <c:ext xmlns:c16="http://schemas.microsoft.com/office/drawing/2014/chart" uri="{C3380CC4-5D6E-409C-BE32-E72D297353CC}">
              <c16:uniqueId val="{00000004-D4D8-490B-8036-BA8A008C9BB2}"/>
            </c:ext>
          </c:extLst>
        </c:ser>
        <c:dLbls>
          <c:showLegendKey val="0"/>
          <c:showVal val="0"/>
          <c:showCatName val="0"/>
          <c:showSerName val="0"/>
          <c:showPercent val="0"/>
          <c:showBubbleSize val="0"/>
        </c:dLbls>
        <c:axId val="318654456"/>
        <c:axId val="318653672"/>
      </c:scatterChart>
      <c:valAx>
        <c:axId val="318654456"/>
        <c:scaling>
          <c:orientation val="minMax"/>
          <c:max val="45"/>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noFill/>
              <a:prstDash val="solid"/>
              <a:round/>
            </a:ln>
            <a:effectLst/>
          </c:spPr>
        </c:min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CA" b="1"/>
                  <a:t>Design Rainfall Intensity [mm/hr]</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in"/>
        <c:minorTickMark val="none"/>
        <c:tickLblPos val="nextTo"/>
        <c:spPr>
          <a:noFill/>
          <a:ln w="19050"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8653672"/>
        <c:crosses val="autoZero"/>
        <c:crossBetween val="midCat"/>
        <c:majorUnit val="5"/>
        <c:minorUnit val="1"/>
      </c:valAx>
      <c:valAx>
        <c:axId val="318653672"/>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bg1">
                  <a:lumMod val="85000"/>
                </a:schemeClr>
              </a:solidFill>
              <a:round/>
            </a:ln>
            <a:effectLst/>
          </c:spPr>
        </c:minorGridlines>
        <c:title>
          <c:tx>
            <c:rich>
              <a:bodyPr rot="-5400000" spcFirstLastPara="1" vertOverflow="ellipsis" vert="horz" wrap="square" anchor="ctr" anchorCtr="1"/>
              <a:lstStyle/>
              <a:p>
                <a:pPr>
                  <a:defRPr sz="1000" b="1" i="0" u="none" strike="noStrike" kern="1200" baseline="0">
                    <a:solidFill>
                      <a:schemeClr val="bg2">
                        <a:lumMod val="25000"/>
                      </a:schemeClr>
                    </a:solidFill>
                    <a:latin typeface="+mn-lt"/>
                    <a:ea typeface="+mn-ea"/>
                    <a:cs typeface="+mn-cs"/>
                  </a:defRPr>
                </a:pPr>
                <a:r>
                  <a:rPr lang="en-CA" b="1">
                    <a:solidFill>
                      <a:schemeClr val="bg2">
                        <a:lumMod val="25000"/>
                      </a:schemeClr>
                    </a:solidFill>
                  </a:rPr>
                  <a:t>% Average Annual Rainfall Volume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bg2">
                      <a:lumMod val="25000"/>
                    </a:schemeClr>
                  </a:solidFill>
                  <a:latin typeface="+mn-lt"/>
                  <a:ea typeface="+mn-ea"/>
                  <a:cs typeface="+mn-cs"/>
                </a:defRPr>
              </a:pPr>
              <a:endParaRPr lang="en-US"/>
            </a:p>
          </c:txPr>
        </c:title>
        <c:numFmt formatCode="0%" sourceLinked="1"/>
        <c:majorTickMark val="in"/>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bg2">
                    <a:lumMod val="25000"/>
                  </a:schemeClr>
                </a:solidFill>
                <a:latin typeface="+mn-lt"/>
                <a:ea typeface="+mn-ea"/>
                <a:cs typeface="+mn-cs"/>
              </a:defRPr>
            </a:pPr>
            <a:endParaRPr lang="en-US"/>
          </a:p>
        </c:txPr>
        <c:crossAx val="318654456"/>
        <c:crosses val="autoZero"/>
        <c:crossBetween val="midCat"/>
        <c:minorUnit val="5.000000000000001E-2"/>
      </c:valAx>
      <c:spPr>
        <a:solidFill>
          <a:schemeClr val="bg1">
            <a:lumMod val="95000"/>
          </a:schemeClr>
        </a:solidFill>
        <a:ln w="25400">
          <a:solidFill>
            <a:schemeClr val="bg1">
              <a:lumMod val="65000"/>
            </a:schemeClr>
          </a:solidFill>
        </a:ln>
        <a:effectLst/>
      </c:spPr>
    </c:plotArea>
    <c:plotVisOnly val="1"/>
    <c:dispBlanksAs val="gap"/>
    <c:showDLblsOverMax val="0"/>
  </c:chart>
  <c:spPr>
    <a:no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s://sustainabletechnologies.ca/canadian-stormwater-etv/"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s://wiki.sustainabletechnologies.ca/wiki/Oil_and_Grit_Separator#Performance_Test_Results" TargetMode="External"/><Relationship Id="rId5" Type="http://schemas.openxmlformats.org/officeDocument/2006/relationships/image" Target="../media/image1.png"/><Relationship Id="rId4" Type="http://schemas.openxmlformats.org/officeDocument/2006/relationships/hyperlink" Target="https://wiki.sustainabletechnologies.ca/wiki/Oil_and_Grit_Separator#Testing_and_Verification"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419102</xdr:colOff>
      <xdr:row>0</xdr:row>
      <xdr:rowOff>107039</xdr:rowOff>
    </xdr:from>
    <xdr:to>
      <xdr:col>6</xdr:col>
      <xdr:colOff>389171</xdr:colOff>
      <xdr:row>0</xdr:row>
      <xdr:rowOff>522194</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176184" y="107039"/>
          <a:ext cx="3484234" cy="415155"/>
        </a:xfrm>
        <a:prstGeom prst="rect">
          <a:avLst/>
        </a:prstGeom>
        <a:noFill/>
        <a:ln w="2857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050" b="0" i="1" baseline="0">
              <a:solidFill>
                <a:schemeClr val="accent2"/>
              </a:solidFill>
              <a:latin typeface="Arial Rounded MT Bold" panose="020F0704030504030204" pitchFamily="34" charset="0"/>
            </a:rPr>
            <a:t>Pre-loaded input provided as a sample only</a:t>
          </a:r>
        </a:p>
      </xdr:txBody>
    </xdr:sp>
    <xdr:clientData/>
  </xdr:twoCellAnchor>
  <xdr:twoCellAnchor>
    <xdr:from>
      <xdr:col>0</xdr:col>
      <xdr:colOff>28575</xdr:colOff>
      <xdr:row>2</xdr:row>
      <xdr:rowOff>9525</xdr:rowOff>
    </xdr:from>
    <xdr:to>
      <xdr:col>0</xdr:col>
      <xdr:colOff>257175</xdr:colOff>
      <xdr:row>3</xdr:row>
      <xdr:rowOff>1287</xdr:rowOff>
    </xdr:to>
    <xdr:sp macro="" textlink="">
      <xdr:nvSpPr>
        <xdr:cNvPr id="23" name="Oval 22">
          <a:extLst>
            <a:ext uri="{FF2B5EF4-FFF2-40B4-BE49-F238E27FC236}">
              <a16:creationId xmlns:a16="http://schemas.microsoft.com/office/drawing/2014/main" id="{00000000-0008-0000-0000-000017000000}"/>
            </a:ext>
          </a:extLst>
        </xdr:cNvPr>
        <xdr:cNvSpPr/>
      </xdr:nvSpPr>
      <xdr:spPr>
        <a:xfrm>
          <a:off x="28575" y="762000"/>
          <a:ext cx="228600" cy="229887"/>
        </a:xfrm>
        <a:prstGeom prst="ellipse">
          <a:avLst/>
        </a:prstGeom>
        <a:solidFill>
          <a:schemeClr val="accent4">
            <a:lumMod val="60000"/>
            <a:lumOff val="40000"/>
          </a:schemeClr>
        </a:solidFill>
        <a:ln w="15875">
          <a:solidFill>
            <a:schemeClr val="accent4">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0"/>
        <a:lstStyle/>
        <a:p>
          <a:pPr algn="ctr"/>
          <a:r>
            <a:rPr lang="en-CA" sz="800" b="1">
              <a:solidFill>
                <a:schemeClr val="tx1"/>
              </a:solidFill>
            </a:rPr>
            <a:t>1</a:t>
          </a:r>
        </a:p>
      </xdr:txBody>
    </xdr:sp>
    <xdr:clientData/>
  </xdr:twoCellAnchor>
  <xdr:twoCellAnchor>
    <xdr:from>
      <xdr:col>0</xdr:col>
      <xdr:colOff>28575</xdr:colOff>
      <xdr:row>10</xdr:row>
      <xdr:rowOff>9525</xdr:rowOff>
    </xdr:from>
    <xdr:to>
      <xdr:col>0</xdr:col>
      <xdr:colOff>257175</xdr:colOff>
      <xdr:row>11</xdr:row>
      <xdr:rowOff>1287</xdr:rowOff>
    </xdr:to>
    <xdr:sp macro="" textlink="">
      <xdr:nvSpPr>
        <xdr:cNvPr id="24" name="Oval 23">
          <a:extLst>
            <a:ext uri="{FF2B5EF4-FFF2-40B4-BE49-F238E27FC236}">
              <a16:creationId xmlns:a16="http://schemas.microsoft.com/office/drawing/2014/main" id="{00000000-0008-0000-0000-000018000000}"/>
            </a:ext>
          </a:extLst>
        </xdr:cNvPr>
        <xdr:cNvSpPr/>
      </xdr:nvSpPr>
      <xdr:spPr>
        <a:xfrm>
          <a:off x="28575" y="2000250"/>
          <a:ext cx="228600" cy="229887"/>
        </a:xfrm>
        <a:prstGeom prst="ellipse">
          <a:avLst/>
        </a:prstGeom>
        <a:solidFill>
          <a:schemeClr val="accent4">
            <a:lumMod val="60000"/>
            <a:lumOff val="40000"/>
          </a:schemeClr>
        </a:solidFill>
        <a:ln w="15875">
          <a:solidFill>
            <a:schemeClr val="accent4">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0"/>
        <a:lstStyle/>
        <a:p>
          <a:pPr algn="ctr"/>
          <a:r>
            <a:rPr lang="en-CA" sz="800" b="1">
              <a:solidFill>
                <a:schemeClr val="tx1"/>
              </a:solidFill>
            </a:rPr>
            <a:t>2</a:t>
          </a:r>
        </a:p>
      </xdr:txBody>
    </xdr:sp>
    <xdr:clientData/>
  </xdr:twoCellAnchor>
  <xdr:twoCellAnchor>
    <xdr:from>
      <xdr:col>0</xdr:col>
      <xdr:colOff>38100</xdr:colOff>
      <xdr:row>18</xdr:row>
      <xdr:rowOff>9525</xdr:rowOff>
    </xdr:from>
    <xdr:to>
      <xdr:col>0</xdr:col>
      <xdr:colOff>266700</xdr:colOff>
      <xdr:row>19</xdr:row>
      <xdr:rowOff>1287</xdr:rowOff>
    </xdr:to>
    <xdr:sp macro="" textlink="">
      <xdr:nvSpPr>
        <xdr:cNvPr id="25" name="Oval 24">
          <a:extLst>
            <a:ext uri="{FF2B5EF4-FFF2-40B4-BE49-F238E27FC236}">
              <a16:creationId xmlns:a16="http://schemas.microsoft.com/office/drawing/2014/main" id="{00000000-0008-0000-0000-000019000000}"/>
            </a:ext>
          </a:extLst>
        </xdr:cNvPr>
        <xdr:cNvSpPr/>
      </xdr:nvSpPr>
      <xdr:spPr>
        <a:xfrm>
          <a:off x="38100" y="3228975"/>
          <a:ext cx="228600" cy="229887"/>
        </a:xfrm>
        <a:prstGeom prst="ellipse">
          <a:avLst/>
        </a:prstGeom>
        <a:solidFill>
          <a:schemeClr val="accent4">
            <a:lumMod val="60000"/>
            <a:lumOff val="40000"/>
          </a:schemeClr>
        </a:solidFill>
        <a:ln w="15875">
          <a:solidFill>
            <a:schemeClr val="accent4">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0"/>
        <a:lstStyle/>
        <a:p>
          <a:pPr algn="ctr"/>
          <a:r>
            <a:rPr lang="en-CA" sz="800" b="1">
              <a:solidFill>
                <a:schemeClr val="tx1"/>
              </a:solidFill>
            </a:rPr>
            <a:t>3</a:t>
          </a:r>
        </a:p>
      </xdr:txBody>
    </xdr:sp>
    <xdr:clientData/>
  </xdr:twoCellAnchor>
  <xdr:twoCellAnchor>
    <xdr:from>
      <xdr:col>0</xdr:col>
      <xdr:colOff>28575</xdr:colOff>
      <xdr:row>23</xdr:row>
      <xdr:rowOff>9525</xdr:rowOff>
    </xdr:from>
    <xdr:to>
      <xdr:col>0</xdr:col>
      <xdr:colOff>257175</xdr:colOff>
      <xdr:row>24</xdr:row>
      <xdr:rowOff>1287</xdr:rowOff>
    </xdr:to>
    <xdr:sp macro="" textlink="">
      <xdr:nvSpPr>
        <xdr:cNvPr id="27" name="Oval 26">
          <a:extLst>
            <a:ext uri="{FF2B5EF4-FFF2-40B4-BE49-F238E27FC236}">
              <a16:creationId xmlns:a16="http://schemas.microsoft.com/office/drawing/2014/main" id="{00000000-0008-0000-0000-00001B000000}"/>
            </a:ext>
          </a:extLst>
        </xdr:cNvPr>
        <xdr:cNvSpPr/>
      </xdr:nvSpPr>
      <xdr:spPr>
        <a:xfrm>
          <a:off x="28575" y="4457700"/>
          <a:ext cx="228600" cy="229887"/>
        </a:xfrm>
        <a:prstGeom prst="ellipse">
          <a:avLst/>
        </a:prstGeom>
        <a:solidFill>
          <a:schemeClr val="accent4">
            <a:lumMod val="60000"/>
            <a:lumOff val="40000"/>
          </a:schemeClr>
        </a:solidFill>
        <a:ln w="15875">
          <a:solidFill>
            <a:schemeClr val="accent4">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0"/>
        <a:lstStyle/>
        <a:p>
          <a:pPr algn="ctr"/>
          <a:r>
            <a:rPr lang="en-CA" sz="800" b="1">
              <a:solidFill>
                <a:schemeClr val="tx1"/>
              </a:solidFill>
            </a:rPr>
            <a:t>4</a:t>
          </a:r>
        </a:p>
      </xdr:txBody>
    </xdr:sp>
    <xdr:clientData/>
  </xdr:twoCellAnchor>
  <xdr:twoCellAnchor>
    <xdr:from>
      <xdr:col>0</xdr:col>
      <xdr:colOff>28575</xdr:colOff>
      <xdr:row>51</xdr:row>
      <xdr:rowOff>19050</xdr:rowOff>
    </xdr:from>
    <xdr:to>
      <xdr:col>0</xdr:col>
      <xdr:colOff>257175</xdr:colOff>
      <xdr:row>52</xdr:row>
      <xdr:rowOff>10812</xdr:rowOff>
    </xdr:to>
    <xdr:sp macro="" textlink="">
      <xdr:nvSpPr>
        <xdr:cNvPr id="29" name="Oval 28">
          <a:extLst>
            <a:ext uri="{FF2B5EF4-FFF2-40B4-BE49-F238E27FC236}">
              <a16:creationId xmlns:a16="http://schemas.microsoft.com/office/drawing/2014/main" id="{00000000-0008-0000-0000-00001D000000}"/>
            </a:ext>
          </a:extLst>
        </xdr:cNvPr>
        <xdr:cNvSpPr/>
      </xdr:nvSpPr>
      <xdr:spPr>
        <a:xfrm>
          <a:off x="28575" y="7286625"/>
          <a:ext cx="228600" cy="229887"/>
        </a:xfrm>
        <a:prstGeom prst="ellipse">
          <a:avLst/>
        </a:prstGeom>
        <a:solidFill>
          <a:schemeClr val="accent4">
            <a:lumMod val="60000"/>
            <a:lumOff val="40000"/>
          </a:schemeClr>
        </a:solidFill>
        <a:ln w="15875">
          <a:solidFill>
            <a:schemeClr val="accent4">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0"/>
        <a:lstStyle/>
        <a:p>
          <a:pPr algn="ctr"/>
          <a:r>
            <a:rPr lang="en-CA" sz="800" b="1">
              <a:solidFill>
                <a:schemeClr val="tx1"/>
              </a:solidFill>
            </a:rPr>
            <a:t>6</a:t>
          </a:r>
        </a:p>
      </xdr:txBody>
    </xdr:sp>
    <xdr:clientData/>
  </xdr:twoCellAnchor>
  <xdr:twoCellAnchor>
    <xdr:from>
      <xdr:col>0</xdr:col>
      <xdr:colOff>19049</xdr:colOff>
      <xdr:row>58</xdr:row>
      <xdr:rowOff>9526</xdr:rowOff>
    </xdr:from>
    <xdr:to>
      <xdr:col>0</xdr:col>
      <xdr:colOff>257734</xdr:colOff>
      <xdr:row>58</xdr:row>
      <xdr:rowOff>212912</xdr:rowOff>
    </xdr:to>
    <xdr:sp macro="" textlink="">
      <xdr:nvSpPr>
        <xdr:cNvPr id="31" name="Oval 30">
          <a:extLst>
            <a:ext uri="{FF2B5EF4-FFF2-40B4-BE49-F238E27FC236}">
              <a16:creationId xmlns:a16="http://schemas.microsoft.com/office/drawing/2014/main" id="{00000000-0008-0000-0000-00001F000000}"/>
            </a:ext>
          </a:extLst>
        </xdr:cNvPr>
        <xdr:cNvSpPr/>
      </xdr:nvSpPr>
      <xdr:spPr>
        <a:xfrm>
          <a:off x="19049" y="11674850"/>
          <a:ext cx="238685" cy="203386"/>
        </a:xfrm>
        <a:prstGeom prst="ellipse">
          <a:avLst/>
        </a:prstGeom>
        <a:solidFill>
          <a:schemeClr val="accent4">
            <a:lumMod val="60000"/>
            <a:lumOff val="40000"/>
          </a:schemeClr>
        </a:solidFill>
        <a:ln w="15875">
          <a:solidFill>
            <a:schemeClr val="accent4">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0"/>
        <a:lstStyle/>
        <a:p>
          <a:pPr algn="ctr"/>
          <a:r>
            <a:rPr lang="en-CA" sz="800" b="1">
              <a:solidFill>
                <a:schemeClr val="tx1"/>
              </a:solidFill>
            </a:rPr>
            <a:t>7</a:t>
          </a:r>
        </a:p>
      </xdr:txBody>
    </xdr:sp>
    <xdr:clientData/>
  </xdr:twoCellAnchor>
  <xdr:twoCellAnchor>
    <xdr:from>
      <xdr:col>14</xdr:col>
      <xdr:colOff>138952</xdr:colOff>
      <xdr:row>56</xdr:row>
      <xdr:rowOff>163599</xdr:rowOff>
    </xdr:from>
    <xdr:to>
      <xdr:col>23</xdr:col>
      <xdr:colOff>336952</xdr:colOff>
      <xdr:row>86</xdr:row>
      <xdr:rowOff>215375</xdr:rowOff>
    </xdr:to>
    <xdr:graphicFrame macro="">
      <xdr:nvGraphicFramePr>
        <xdr:cNvPr id="5" name="Chart 1">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2804</xdr:colOff>
      <xdr:row>2</xdr:row>
      <xdr:rowOff>64993</xdr:rowOff>
    </xdr:from>
    <xdr:to>
      <xdr:col>23</xdr:col>
      <xdr:colOff>202218</xdr:colOff>
      <xdr:row>29</xdr:row>
      <xdr:rowOff>56028</xdr:rowOff>
    </xdr:to>
    <xdr:graphicFrame macro="">
      <xdr:nvGraphicFramePr>
        <xdr:cNvPr id="7" name="Chart 1">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37</xdr:row>
      <xdr:rowOff>9525</xdr:rowOff>
    </xdr:from>
    <xdr:to>
      <xdr:col>0</xdr:col>
      <xdr:colOff>257175</xdr:colOff>
      <xdr:row>38</xdr:row>
      <xdr:rowOff>1287</xdr:rowOff>
    </xdr:to>
    <xdr:sp macro="" textlink="">
      <xdr:nvSpPr>
        <xdr:cNvPr id="38" name="Oval 37">
          <a:extLst>
            <a:ext uri="{FF2B5EF4-FFF2-40B4-BE49-F238E27FC236}">
              <a16:creationId xmlns:a16="http://schemas.microsoft.com/office/drawing/2014/main" id="{00000000-0008-0000-0000-000026000000}"/>
            </a:ext>
          </a:extLst>
        </xdr:cNvPr>
        <xdr:cNvSpPr/>
      </xdr:nvSpPr>
      <xdr:spPr>
        <a:xfrm>
          <a:off x="28575" y="5309907"/>
          <a:ext cx="228600" cy="227086"/>
        </a:xfrm>
        <a:prstGeom prst="ellipse">
          <a:avLst/>
        </a:prstGeom>
        <a:solidFill>
          <a:schemeClr val="accent4">
            <a:lumMod val="60000"/>
            <a:lumOff val="40000"/>
          </a:schemeClr>
        </a:solidFill>
        <a:ln w="15875">
          <a:solidFill>
            <a:schemeClr val="accent4">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0"/>
        <a:lstStyle/>
        <a:p>
          <a:pPr algn="ctr"/>
          <a:r>
            <a:rPr lang="en-CA" sz="800" b="1">
              <a:solidFill>
                <a:schemeClr val="tx1"/>
              </a:solidFill>
            </a:rPr>
            <a:t>5</a:t>
          </a:r>
        </a:p>
      </xdr:txBody>
    </xdr:sp>
    <xdr:clientData/>
  </xdr:twoCellAnchor>
  <mc:AlternateContent xmlns:mc="http://schemas.openxmlformats.org/markup-compatibility/2006">
    <mc:Choice xmlns:a14="http://schemas.microsoft.com/office/drawing/2010/main" Requires="a14">
      <xdr:twoCellAnchor editAs="oneCell">
        <xdr:from>
          <xdr:col>6</xdr:col>
          <xdr:colOff>7620</xdr:colOff>
          <xdr:row>25</xdr:row>
          <xdr:rowOff>7620</xdr:rowOff>
        </xdr:from>
        <xdr:to>
          <xdr:col>6</xdr:col>
          <xdr:colOff>228600</xdr:colOff>
          <xdr:row>26</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solidFill>
              <a:srgbClr val="CCE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488015</xdr:colOff>
      <xdr:row>25</xdr:row>
      <xdr:rowOff>29696</xdr:rowOff>
    </xdr:from>
    <xdr:to>
      <xdr:col>4</xdr:col>
      <xdr:colOff>647636</xdr:colOff>
      <xdr:row>25</xdr:row>
      <xdr:rowOff>188259</xdr:rowOff>
    </xdr:to>
    <xdr:sp macro="" textlink="">
      <xdr:nvSpPr>
        <xdr:cNvPr id="37" name="Oval 36">
          <a:hlinkClick xmlns:r="http://schemas.openxmlformats.org/officeDocument/2006/relationships" r:id="rId3"/>
          <a:extLst>
            <a:ext uri="{FF2B5EF4-FFF2-40B4-BE49-F238E27FC236}">
              <a16:creationId xmlns:a16="http://schemas.microsoft.com/office/drawing/2014/main" id="{00000000-0008-0000-0000-000025000000}"/>
            </a:ext>
          </a:extLst>
        </xdr:cNvPr>
        <xdr:cNvSpPr/>
      </xdr:nvSpPr>
      <xdr:spPr>
        <a:xfrm>
          <a:off x="4822450" y="5296461"/>
          <a:ext cx="159621" cy="158563"/>
        </a:xfrm>
        <a:prstGeom prst="ellipse">
          <a:avLst/>
        </a:prstGeom>
        <a:solidFill>
          <a:schemeClr val="bg1">
            <a:lumMod val="85000"/>
          </a:schemeClr>
        </a:solidFill>
        <a:ln w="15875">
          <a:solidFill>
            <a:schemeClr val="bg1">
              <a:lumMod val="6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0"/>
        <a:lstStyle/>
        <a:p>
          <a:pPr algn="ctr"/>
          <a:r>
            <a:rPr lang="en-CA" sz="800" b="1">
              <a:solidFill>
                <a:schemeClr val="tx1">
                  <a:lumMod val="50000"/>
                  <a:lumOff val="50000"/>
                </a:schemeClr>
              </a:solidFill>
            </a:rPr>
            <a:t>?</a:t>
          </a:r>
        </a:p>
      </xdr:txBody>
    </xdr:sp>
    <xdr:clientData/>
  </xdr:twoCellAnchor>
  <xdr:twoCellAnchor>
    <xdr:from>
      <xdr:col>10</xdr:col>
      <xdr:colOff>62193</xdr:colOff>
      <xdr:row>25</xdr:row>
      <xdr:rowOff>43143</xdr:rowOff>
    </xdr:from>
    <xdr:to>
      <xdr:col>10</xdr:col>
      <xdr:colOff>221814</xdr:colOff>
      <xdr:row>25</xdr:row>
      <xdr:rowOff>201706</xdr:rowOff>
    </xdr:to>
    <xdr:sp macro="" textlink="">
      <xdr:nvSpPr>
        <xdr:cNvPr id="39" name="Oval 38">
          <a:hlinkClick xmlns:r="http://schemas.openxmlformats.org/officeDocument/2006/relationships" r:id="rId4"/>
          <a:extLst>
            <a:ext uri="{FF2B5EF4-FFF2-40B4-BE49-F238E27FC236}">
              <a16:creationId xmlns:a16="http://schemas.microsoft.com/office/drawing/2014/main" id="{00000000-0008-0000-0000-000027000000}"/>
            </a:ext>
          </a:extLst>
        </xdr:cNvPr>
        <xdr:cNvSpPr/>
      </xdr:nvSpPr>
      <xdr:spPr>
        <a:xfrm>
          <a:off x="8130428" y="4828055"/>
          <a:ext cx="159621" cy="158563"/>
        </a:xfrm>
        <a:prstGeom prst="ellipse">
          <a:avLst/>
        </a:prstGeom>
        <a:solidFill>
          <a:schemeClr val="bg1">
            <a:lumMod val="85000"/>
          </a:schemeClr>
        </a:solidFill>
        <a:ln w="15875">
          <a:solidFill>
            <a:schemeClr val="bg1">
              <a:lumMod val="6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0"/>
        <a:lstStyle/>
        <a:p>
          <a:pPr algn="ctr"/>
          <a:r>
            <a:rPr lang="en-CA" sz="800" b="1">
              <a:solidFill>
                <a:schemeClr val="tx1">
                  <a:lumMod val="50000"/>
                  <a:lumOff val="50000"/>
                </a:schemeClr>
              </a:solidFill>
            </a:rPr>
            <a:t>?</a:t>
          </a:r>
        </a:p>
      </xdr:txBody>
    </xdr:sp>
    <xdr:clientData/>
  </xdr:twoCellAnchor>
  <mc:AlternateContent xmlns:mc="http://schemas.openxmlformats.org/markup-compatibility/2006">
    <mc:Choice xmlns:a14="http://schemas.microsoft.com/office/drawing/2010/main" Requires="a14">
      <xdr:twoCellAnchor editAs="oneCell">
        <xdr:from>
          <xdr:col>1</xdr:col>
          <xdr:colOff>899160</xdr:colOff>
          <xdr:row>24</xdr:row>
          <xdr:rowOff>144780</xdr:rowOff>
        </xdr:from>
        <xdr:to>
          <xdr:col>1</xdr:col>
          <xdr:colOff>1127760</xdr:colOff>
          <xdr:row>25</xdr:row>
          <xdr:rowOff>228600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solidFill>
              <a:srgbClr val="CCE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121920</xdr:rowOff>
        </xdr:from>
        <xdr:to>
          <xdr:col>2</xdr:col>
          <xdr:colOff>228600</xdr:colOff>
          <xdr:row>12</xdr:row>
          <xdr:rowOff>228600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solidFill>
              <a:srgbClr val="CCE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137160</xdr:rowOff>
        </xdr:from>
        <xdr:to>
          <xdr:col>4</xdr:col>
          <xdr:colOff>228600</xdr:colOff>
          <xdr:row>12</xdr:row>
          <xdr:rowOff>228600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solidFill>
              <a:srgbClr val="CCE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xdr:colOff>
      <xdr:row>85</xdr:row>
      <xdr:rowOff>11206</xdr:rowOff>
    </xdr:from>
    <xdr:to>
      <xdr:col>0</xdr:col>
      <xdr:colOff>247650</xdr:colOff>
      <xdr:row>86</xdr:row>
      <xdr:rowOff>5769</xdr:rowOff>
    </xdr:to>
    <xdr:sp macro="" textlink="">
      <xdr:nvSpPr>
        <xdr:cNvPr id="36" name="Oval 35">
          <a:extLst>
            <a:ext uri="{FF2B5EF4-FFF2-40B4-BE49-F238E27FC236}">
              <a16:creationId xmlns:a16="http://schemas.microsoft.com/office/drawing/2014/main" id="{00000000-0008-0000-0000-000024000000}"/>
            </a:ext>
          </a:extLst>
        </xdr:cNvPr>
        <xdr:cNvSpPr/>
      </xdr:nvSpPr>
      <xdr:spPr>
        <a:xfrm>
          <a:off x="19050" y="14444382"/>
          <a:ext cx="228600" cy="229887"/>
        </a:xfrm>
        <a:prstGeom prst="ellipse">
          <a:avLst/>
        </a:prstGeom>
        <a:solidFill>
          <a:schemeClr val="accent4">
            <a:lumMod val="60000"/>
            <a:lumOff val="40000"/>
          </a:schemeClr>
        </a:solidFill>
        <a:ln w="15875">
          <a:solidFill>
            <a:schemeClr val="accent4">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0"/>
        <a:lstStyle/>
        <a:p>
          <a:pPr algn="ctr"/>
          <a:r>
            <a:rPr lang="en-CA" sz="800" b="1">
              <a:solidFill>
                <a:schemeClr val="tx1"/>
              </a:solidFill>
            </a:rPr>
            <a:t>8</a:t>
          </a:r>
        </a:p>
      </xdr:txBody>
    </xdr:sp>
    <xdr:clientData/>
  </xdr:twoCellAnchor>
  <xdr:twoCellAnchor editAs="oneCell">
    <xdr:from>
      <xdr:col>6</xdr:col>
      <xdr:colOff>502023</xdr:colOff>
      <xdr:row>0</xdr:row>
      <xdr:rowOff>0</xdr:rowOff>
    </xdr:from>
    <xdr:to>
      <xdr:col>10</xdr:col>
      <xdr:colOff>544284</xdr:colOff>
      <xdr:row>0</xdr:row>
      <xdr:rowOff>618565</xdr:rowOff>
    </xdr:to>
    <xdr:pic>
      <xdr:nvPicPr>
        <xdr:cNvPr id="28" name="Picture 27">
          <a:extLst>
            <a:ext uri="{FF2B5EF4-FFF2-40B4-BE49-F238E27FC236}">
              <a16:creationId xmlns:a16="http://schemas.microsoft.com/office/drawing/2014/main" id="{00000000-0008-0000-0000-00001C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73270" y="0"/>
          <a:ext cx="2895599" cy="618565"/>
        </a:xfrm>
        <a:prstGeom prst="rect">
          <a:avLst/>
        </a:prstGeom>
        <a:noFill/>
        <a:ln>
          <a:noFill/>
        </a:ln>
      </xdr:spPr>
    </xdr:pic>
    <xdr:clientData/>
  </xdr:twoCellAnchor>
  <xdr:twoCellAnchor>
    <xdr:from>
      <xdr:col>2</xdr:col>
      <xdr:colOff>775448</xdr:colOff>
      <xdr:row>37</xdr:row>
      <xdr:rowOff>35859</xdr:rowOff>
    </xdr:from>
    <xdr:to>
      <xdr:col>2</xdr:col>
      <xdr:colOff>935069</xdr:colOff>
      <xdr:row>37</xdr:row>
      <xdr:rowOff>194422</xdr:rowOff>
    </xdr:to>
    <xdr:sp macro="" textlink="">
      <xdr:nvSpPr>
        <xdr:cNvPr id="2" name="Oval 1">
          <a:hlinkClick xmlns:r="http://schemas.openxmlformats.org/officeDocument/2006/relationships" r:id="rId6"/>
          <a:extLst>
            <a:ext uri="{FF2B5EF4-FFF2-40B4-BE49-F238E27FC236}">
              <a16:creationId xmlns:a16="http://schemas.microsoft.com/office/drawing/2014/main" id="{00000000-0008-0000-0000-000002000000}"/>
            </a:ext>
          </a:extLst>
        </xdr:cNvPr>
        <xdr:cNvSpPr/>
      </xdr:nvSpPr>
      <xdr:spPr>
        <a:xfrm>
          <a:off x="2711824" y="7929283"/>
          <a:ext cx="159621" cy="158563"/>
        </a:xfrm>
        <a:prstGeom prst="ellipse">
          <a:avLst/>
        </a:prstGeom>
        <a:solidFill>
          <a:schemeClr val="bg1">
            <a:lumMod val="85000"/>
          </a:schemeClr>
        </a:solidFill>
        <a:ln w="15875">
          <a:solidFill>
            <a:schemeClr val="bg1">
              <a:lumMod val="6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0"/>
        <a:lstStyle/>
        <a:p>
          <a:pPr algn="ctr"/>
          <a:r>
            <a:rPr lang="en-CA" sz="800" b="1">
              <a:solidFill>
                <a:schemeClr val="tx1">
                  <a:lumMod val="50000"/>
                  <a:lumOff val="50000"/>
                </a:schemeClr>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100855</xdr:colOff>
      <xdr:row>3</xdr:row>
      <xdr:rowOff>89648</xdr:rowOff>
    </xdr:from>
    <xdr:to>
      <xdr:col>9</xdr:col>
      <xdr:colOff>727710</xdr:colOff>
      <xdr:row>34</xdr:row>
      <xdr:rowOff>100853</xdr:rowOff>
    </xdr:to>
    <xdr:graphicFrame macro="">
      <xdr:nvGraphicFramePr>
        <xdr:cNvPr id="4" name="Chart 1">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419102</xdr:colOff>
      <xdr:row>0</xdr:row>
      <xdr:rowOff>0</xdr:rowOff>
    </xdr:from>
    <xdr:to>
      <xdr:col>12</xdr:col>
      <xdr:colOff>141418</xdr:colOff>
      <xdr:row>1</xdr:row>
      <xdr:rowOff>0</xdr:rowOff>
    </xdr:to>
    <xdr:pic>
      <xdr:nvPicPr>
        <xdr:cNvPr id="5" name="Picture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91902" y="0"/>
          <a:ext cx="2899857" cy="617220"/>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64:K85" totalsRowShown="0" headerRowDxfId="135" dataDxfId="134">
  <autoFilter ref="A64:K85" xr:uid="{00000000-0009-0000-0100-000002000000}"/>
  <tableColumns count="11">
    <tableColumn id="1" xr3:uid="{00000000-0010-0000-0000-000001000000}" name="Column3" dataDxfId="133" dataCellStyle="Percent"/>
    <tableColumn id="2" xr3:uid="{00000000-0010-0000-0000-000002000000}" name="Column2" dataDxfId="132" dataCellStyle="Percent"/>
    <tableColumn id="3" xr3:uid="{00000000-0010-0000-0000-000003000000}" name="Column1" dataDxfId="131" dataCellStyle="Normal_NETEFFCY"/>
    <tableColumn id="4" xr3:uid="{00000000-0010-0000-0000-000004000000}" name="Column4" dataDxfId="130">
      <calculatedColumnFormula>$C$21*$C$22*C65*2.78</calculatedColumnFormula>
    </tableColumn>
    <tableColumn id="5" xr3:uid="{00000000-0010-0000-0000-000005000000}" name="Column5" dataDxfId="129" dataCellStyle="Comma">
      <calculatedColumnFormula>D65*60</calculatedColumnFormula>
    </tableColumn>
    <tableColumn id="6" xr3:uid="{00000000-0010-0000-0000-000006000000}" name="Column6" dataDxfId="128" dataCellStyle="Comma">
      <calculatedColumnFormula>E65/$F$34</calculatedColumnFormula>
    </tableColumn>
    <tableColumn id="7" xr3:uid="{00000000-0010-0000-0000-000007000000}" name="Column7" dataDxfId="127" dataCellStyle="Percent">
      <calculatedColumnFormula>IF(F65&lt;#REF!,#REF!,IF(F65&gt;#REF!,(#REF!*#REF!+(F65-#REF!)*0)/F65,TREND(INDEX('Test Unit Summary'!$B$6:$C$13,L64,2):INDEX('Test Unit Summary'!$B$6:$C$13,L64+1,2),INDEX('Test Unit Summary'!$B$6:$C$13,L64,1):INDEX('Test Unit Summary'!$B$6:$C$13,L64+1,1),F65)))</calculatedColumnFormula>
    </tableColumn>
    <tableColumn id="10" xr3:uid="{00000000-0010-0000-0000-00000A000000}" name="Column72" dataDxfId="126" dataCellStyle="Percent"/>
    <tableColumn id="8" xr3:uid="{00000000-0010-0000-0000-000008000000}" name="Column8" dataDxfId="125" dataCellStyle="Percent">
      <calculatedColumnFormula>IF(D65=0,0,B65*G65)</calculatedColumnFormula>
    </tableColumn>
    <tableColumn id="13" xr3:uid="{CF375A06-4E2D-4C13-9992-722B99F8B9BA}" name="Column82" dataDxfId="124" dataCellStyle="Percent"/>
    <tableColumn id="9" xr3:uid="{00000000-0010-0000-0000-000009000000}" name="Column9" dataDxfId="123" dataCellStyle="Percent">
      <calculatedColumnFormula>K64+I65</calculatedColumnFormula>
    </tableColumn>
  </tableColumns>
  <tableStyleInfo name="TableStyleLight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4E4F213-C575-46A1-B81F-F1F4CE393868}" name="Table3" displayName="Table3" ref="A50:AD61" totalsRowShown="0" headerRowDxfId="122" dataDxfId="121">
  <autoFilter ref="A50:AD61" xr:uid="{D4E4F213-C575-46A1-B81F-F1F4CE393868}"/>
  <tableColumns count="30">
    <tableColumn id="1" xr3:uid="{64B9A7A7-84B6-42EE-AC42-606C8B4E9488}" name="Locations" dataDxfId="120"/>
    <tableColumn id="2" xr3:uid="{F3E4934E-BF47-4D1F-9ABC-224B96BD49B4}" name="Municipality/City/Region" dataDxfId="119"/>
    <tableColumn id="3" xr3:uid="{0B8FA082-5CFE-4C42-A097-39E5F0D89108}" name="Data Time Range" dataDxfId="118"/>
    <tableColumn id="4" xr3:uid="{02A6CCD4-CDF8-4B7A-9F0A-07662FD14B8E}" name="Data Time Interval" dataDxfId="117"/>
    <tableColumn id="5" xr3:uid="{72E12E63-330C-4D99-AD55-C8B87A25432A}" name="Analysis Interval " dataDxfId="116"/>
    <tableColumn id="6" xr3:uid="{DD7D980F-69D1-4B02-B4BC-8721B9672B8F}" name="Number of values included" dataDxfId="115"/>
    <tableColumn id="7" xr3:uid="{1438658C-E94E-4EA4-9586-EDF71ABEAF8C}" name="Hourly rainfall intensity data included" dataDxfId="114"/>
    <tableColumn id="8" xr3:uid="{E9AF1963-382C-45DE-B9D0-DC5ACE2CF829}" name="0%" dataDxfId="113"/>
    <tableColumn id="9" xr3:uid="{01334BA8-1EA0-40B6-AA2A-ADFD34039AB5}" name="5%" dataDxfId="112"/>
    <tableColumn id="10" xr3:uid="{0AD247C0-27C7-4A2F-B726-B4FBDF39D45F}" name="10%" dataDxfId="111"/>
    <tableColumn id="11" xr3:uid="{9F81F486-88E8-4105-AA9E-FF6DC1387BC4}" name="15%" dataDxfId="110"/>
    <tableColumn id="12" xr3:uid="{856DE7E4-B426-473D-AB5F-09577BE2B910}" name="20%" dataDxfId="109"/>
    <tableColumn id="13" xr3:uid="{90DCA79A-B1B8-4007-8D38-47AD1E4E04C6}" name="25%" dataDxfId="108"/>
    <tableColumn id="14" xr3:uid="{0DFAD64A-631E-48FD-AE54-5AFE77556A9F}" name="30%" dataDxfId="107"/>
    <tableColumn id="15" xr3:uid="{674A9B71-2B02-483A-A16C-C18B580E7AD0}" name="35%" dataDxfId="106"/>
    <tableColumn id="16" xr3:uid="{147A3552-1761-404F-AD3B-A9779374EA33}" name="40%" dataDxfId="105"/>
    <tableColumn id="17" xr3:uid="{DC89A430-7390-488A-8F44-2EAB905472C8}" name="45%" dataDxfId="104"/>
    <tableColumn id="18" xr3:uid="{03A0917B-7AC3-4AD2-8235-A85014A0EB38}" name="50%" dataDxfId="103"/>
    <tableColumn id="19" xr3:uid="{226F323D-7795-405A-916C-0154522383C1}" name="55%" dataDxfId="102"/>
    <tableColumn id="20" xr3:uid="{24AC21DD-9840-42F9-A6EB-F6DE27A56E23}" name="60%" dataDxfId="101"/>
    <tableColumn id="21" xr3:uid="{31A8D0EC-20C0-440C-9EA7-54B75F68F1EC}" name="65%" dataDxfId="100"/>
    <tableColumn id="22" xr3:uid="{C0B8A297-4F8D-4F24-B853-4AEEAA9E0CCB}" name="70%" dataDxfId="99"/>
    <tableColumn id="23" xr3:uid="{51EF6082-18B2-4074-ABFF-B455559D3D80}" name="75%" dataDxfId="98"/>
    <tableColumn id="24" xr3:uid="{2B7E85D1-0447-487F-9CC3-C66E0D95A1DE}" name="80%" dataDxfId="97"/>
    <tableColumn id="25" xr3:uid="{83EFC7A4-C9C1-4D67-A82E-94BEE8EB0523}" name="85%" dataDxfId="96"/>
    <tableColumn id="26" xr3:uid="{54BE4341-403E-419C-9F15-4C96F5CF2CC8}" name="90%" dataDxfId="95"/>
    <tableColumn id="27" xr3:uid="{8D497CEB-506B-423B-9086-EA0C580526CE}" name="95%" dataDxfId="94"/>
    <tableColumn id="28" xr3:uid="{AA22037A-DB58-485B-BE6C-19917A949CD3}" name="100%" dataDxfId="93"/>
    <tableColumn id="29" xr3:uid="{9C383CEA-4A2E-4F7D-A2DD-7EA1FA7A671C}" name="Column1" dataDxfId="92"/>
    <tableColumn id="30" xr3:uid="{7B2A85CC-AAEA-4AEC-8DD7-A3926E79FCC6}" name="Column2" dataDxfId="9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8F93C55-4E8D-48C3-AD74-2C0D9D58B6D2}" name="Table1" displayName="Table1" ref="A65:Y77" totalsRowShown="0" headerRowDxfId="90" dataDxfId="89" tableBorderDxfId="88">
  <autoFilter ref="A65:Y77" xr:uid="{08F93C55-4E8D-48C3-AD74-2C0D9D58B6D2}"/>
  <tableColumns count="25">
    <tableColumn id="1" xr3:uid="{B59E4464-B5B3-422B-8B8A-5948E4853251}" name="Technology name" dataDxfId="87"/>
    <tableColumn id="2" xr3:uid="{D46A94BB-63D3-496D-907E-044B60686616}" name="Model" dataDxfId="86"/>
    <tableColumn id="3" xr3:uid="{A090C565-F0D2-4F04-AB54-2BE6253EDDC1}" name="40" dataDxfId="85"/>
    <tableColumn id="4" xr3:uid="{3E62C38C-5EAB-4312-88D9-AFCF87C14120}" name="80" dataDxfId="84"/>
    <tableColumn id="5" xr3:uid="{76B02AD1-74EE-4F9D-A6FF-6D418393F42A}" name="200" dataDxfId="83"/>
    <tableColumn id="6" xr3:uid="{EE3C50A9-4CFD-49B3-AED3-1B88922E0E71}" name="400" dataDxfId="82"/>
    <tableColumn id="7" xr3:uid="{E33BF1BB-4EA3-4335-A0B2-558698E42374}" name="600" dataDxfId="81"/>
    <tableColumn id="8" xr3:uid="{C22D6F6D-5185-4D05-92B6-A48334868304}" name="1000" dataDxfId="80"/>
    <tableColumn id="9" xr3:uid="{FDAFA679-1A47-448B-A0A6-9102B0A03716}" name="1400" dataDxfId="79"/>
    <tableColumn id="10" xr3:uid="{E07706B3-6EA9-4073-8068-BE561D725BEF}" name="optional" dataDxfId="78"/>
    <tableColumn id="11" xr3:uid="{298B2997-4BDE-4C78-A7AF-24D49A131F16}" name="2002" dataDxfId="77"/>
    <tableColumn id="12" xr3:uid="{46220B14-A9B6-4E61-AEB5-A205C0A5848D}" name="800" dataDxfId="76"/>
    <tableColumn id="13" xr3:uid="{08472CE9-EEE7-4402-A791-B98127FE1932}" name="14002" dataDxfId="75"/>
    <tableColumn id="14" xr3:uid="{A3A66FA6-61EE-44F6-93F9-C7BDE6EF4D20}" name="2000" dataDxfId="74"/>
    <tableColumn id="15" xr3:uid="{7B9CD420-44F8-49F3-BB7C-77F7B7F9BA04}" name="2600" dataDxfId="73"/>
    <tableColumn id="16" xr3:uid="{04D745ED-4D47-47F4-A03F-7EC07E5992D6}" name="Light Liquid Retention test?" dataDxfId="72"/>
    <tableColumn id="17" xr3:uid="{500015BB-5E70-43D6-9163-949299198845}" name="Light Liquid Retention (%)2" dataDxfId="71"/>
    <tableColumn id="18" xr3:uid="{BB8A4E5F-43C2-4592-8BC3-AA621D07B4C7}" name="Bypass type" dataDxfId="70"/>
    <tableColumn id="19" xr3:uid="{B355F293-4A8D-4C7A-9EE8-BD109036E3E5}" name="Bypass Rate (L/min/m2)" dataDxfId="69"/>
    <tableColumn id="20" xr3:uid="{8A30679F-1C1B-4195-BBF6-EC3A3D7496AE}" name="Head Loss" dataDxfId="68"/>
    <tableColumn id="21" xr3:uid="{31D08509-C078-43B3-A648-0A2F6581BB04}" name="Initial Verification" dataDxfId="67"/>
    <tableColumn id="22" xr3:uid="{C805E6E4-642C-443B-8A24-974DC698FA59}" name="Column1" dataDxfId="66"/>
    <tableColumn id="23" xr3:uid="{6755E288-69FA-4056-B2FE-6E4B09C89052}" name="Diameter" dataDxfId="65"/>
    <tableColumn id="24" xr3:uid="{30B81512-DFDA-41FC-8265-AEF884D104A8}" name="Chamber depth" dataDxfId="64"/>
    <tableColumn id="25" xr3:uid="{7946B016-8B8C-4B2F-984F-F427A0C413CC}" name="Max. rec. Sed. Depth" dataDxfId="6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4E67EE9-27AF-4F55-A100-0485EA7A02B6}" name="Table4" displayName="Table4" ref="A89:A96" totalsRowShown="0" headerRowDxfId="62" headerRowBorderDxfId="61" tableBorderDxfId="60" totalsRowBorderDxfId="59">
  <autoFilter ref="A89:A96" xr:uid="{D4E67EE9-27AF-4F55-A100-0485EA7A02B6}"/>
  <tableColumns count="1">
    <tableColumn id="1" xr3:uid="{94E02A72-B0BD-4EC2-9AE4-928F6AD3BAF5}" name="Vendor"/>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04DC00C-9EC6-4986-B588-CE8552CB50A3}" name="Table5" displayName="Table5" ref="B89:B91" totalsRowShown="0" headerRowDxfId="58" dataDxfId="56" headerRowBorderDxfId="57" tableBorderDxfId="55" totalsRowBorderDxfId="54">
  <autoFilter ref="B89:B91" xr:uid="{404DC00C-9EC6-4986-B588-CE8552CB50A3}"/>
  <tableColumns count="1">
    <tableColumn id="1" xr3:uid="{30CE4655-034E-40DC-8EAC-6D2418F9A35E}" name="Rainwater_Management_Ltd." dataDxfId="53"/>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97A14A9-12D1-4177-BDCF-03AE4FC36E5F}" name="Table6" displayName="Table6" ref="C89:C91" totalsRowShown="0" headerRowDxfId="52" dataDxfId="50" headerRowBorderDxfId="51" tableBorderDxfId="49" totalsRowBorderDxfId="48">
  <autoFilter ref="C89:C91" xr:uid="{A97A14A9-12D1-4177-BDCF-03AE4FC36E5F}"/>
  <tableColumns count="1">
    <tableColumn id="1" xr3:uid="{950C95DE-CACC-49F7-A909-D12FE055E12E}" name="Hydro_International" dataDxfId="47"/>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83898D4-F907-44FC-99A7-E39F66F66641}" name="Table8" displayName="Table8" ref="D89:D91" totalsRowShown="0" headerRowDxfId="46" dataDxfId="44" headerRowBorderDxfId="45" tableBorderDxfId="43" totalsRowBorderDxfId="42">
  <autoFilter ref="D89:D91" xr:uid="{B83898D4-F907-44FC-99A7-E39F66F66641}"/>
  <tableColumns count="1">
    <tableColumn id="1" xr3:uid="{F20A3CD3-9953-4CB0-BB9B-C799D7D00EDD}" name="Hydroworks " dataDxfId="41"/>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B842948-92BB-4711-89DF-7827481726FF}" name="Table10" displayName="Table10" ref="E89:E90" totalsRowShown="0" headerRowDxfId="40" dataDxfId="38" headerRowBorderDxfId="39" tableBorderDxfId="37" totalsRowBorderDxfId="36">
  <autoFilter ref="E89:E90" xr:uid="{EB842948-92BB-4711-89DF-7827481726FF}"/>
  <tableColumns count="1">
    <tableColumn id="1" xr3:uid="{3F812957-CF93-4AD1-BF60-FE843C472F88}" name="Contech" dataDxfId="35"/>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D1D9440-BE8B-40E7-966F-581192627FBC}" name="Table11" displayName="Table11" ref="F89:F92" totalsRowShown="0" headerRowDxfId="34" dataDxfId="32" headerRowBorderDxfId="33" tableBorderDxfId="31" totalsRowBorderDxfId="30">
  <autoFilter ref="F89:F92" xr:uid="{FD1D9440-BE8B-40E7-966F-581192627FBC}"/>
  <tableColumns count="1">
    <tableColumn id="1" xr3:uid="{6EA417EB-FCCA-47D7-A092-E3AF8FB938EB}" name="Imbrium_Systems_Inc." dataDxfId="29"/>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76C3F96-0A5A-4472-8011-62B7CE96CFB9}" name="Table12" displayName="Table12" ref="G89:H90" totalsRowShown="0" headerRowDxfId="28" dataDxfId="26" headerRowBorderDxfId="27" tableBorderDxfId="25" totalsRowBorderDxfId="24">
  <autoFilter ref="G89:H90" xr:uid="{C76C3F96-0A5A-4472-8011-62B7CE96CFB9}"/>
  <tableColumns count="2">
    <tableColumn id="1" xr3:uid="{8AFC27F6-68DF-4571-9F7E-ED1A239C9949}" name="Next_Stormwater_Solutions" dataDxfId="23"/>
    <tableColumn id="2" xr3:uid="{DA9B746B-03C2-4507-9979-C778377FC808}" name="StormTrap" dataDxfId="22"/>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EI97"/>
  <sheetViews>
    <sheetView tabSelected="1" zoomScale="70" zoomScaleNormal="70" zoomScalePageLayoutView="25" workbookViewId="0">
      <selection activeCell="C30" sqref="C30:E30"/>
    </sheetView>
  </sheetViews>
  <sheetFormatPr defaultColWidth="0" defaultRowHeight="15" zeroHeight="1" x14ac:dyDescent="0.25"/>
  <cols>
    <col min="1" max="1" width="10.453125" style="127" customWidth="1"/>
    <col min="2" max="2" width="16.90625" style="127" customWidth="1"/>
    <col min="3" max="3" width="13.81640625" style="127" customWidth="1"/>
    <col min="4" max="9" width="10.453125" style="127" customWidth="1"/>
    <col min="10" max="10" width="2.54296875" style="127" customWidth="1"/>
    <col min="11" max="11" width="12.81640625" style="127" customWidth="1"/>
    <col min="12" max="12" width="5.81640625" style="127" hidden="1" customWidth="1"/>
    <col min="13" max="13" width="1.453125" style="127" hidden="1" customWidth="1"/>
    <col min="14" max="14" width="5.81640625" style="75" customWidth="1"/>
    <col min="15" max="24" width="8.90625" style="75" customWidth="1"/>
    <col min="25" max="25" width="8.90625" style="50" customWidth="1"/>
    <col min="26" max="26" width="10.36328125" style="50" customWidth="1"/>
    <col min="27" max="27" width="8.90625" style="50" customWidth="1"/>
    <col min="28" max="29" width="8.90625" style="76" customWidth="1"/>
    <col min="30" max="35" width="8.90625" style="50" customWidth="1"/>
    <col min="36" max="139" width="0" style="48" hidden="1" customWidth="1"/>
    <col min="140" max="16384" width="8.90625" style="48" hidden="1"/>
  </cols>
  <sheetData>
    <row r="1" spans="1:35" s="45" customFormat="1" ht="55.5" customHeight="1" x14ac:dyDescent="0.25">
      <c r="A1" s="324" t="s">
        <v>93</v>
      </c>
      <c r="B1" s="325"/>
      <c r="C1" s="325"/>
      <c r="D1" s="325"/>
      <c r="E1" s="325"/>
      <c r="F1" s="325"/>
      <c r="G1" s="325"/>
      <c r="H1" s="325"/>
      <c r="I1" s="325"/>
      <c r="J1" s="325"/>
      <c r="K1" s="326"/>
      <c r="N1" s="46"/>
      <c r="O1" s="46"/>
      <c r="P1" s="46"/>
      <c r="Q1" s="46"/>
      <c r="R1" s="46"/>
      <c r="S1" s="46"/>
      <c r="T1" s="46"/>
      <c r="U1" s="46"/>
      <c r="V1" s="46"/>
      <c r="W1" s="46"/>
      <c r="X1" s="46"/>
      <c r="Y1" s="47"/>
      <c r="Z1" s="47"/>
      <c r="AA1" s="47"/>
      <c r="AB1" s="47"/>
      <c r="AC1" s="47"/>
      <c r="AD1" s="47"/>
      <c r="AE1" s="47"/>
      <c r="AF1" s="47"/>
      <c r="AG1" s="47"/>
      <c r="AH1" s="47"/>
      <c r="AI1" s="47"/>
    </row>
    <row r="2" spans="1:35" s="79" customFormat="1" ht="13.2" x14ac:dyDescent="0.25">
      <c r="A2" s="65" t="s">
        <v>97</v>
      </c>
      <c r="B2" s="247"/>
      <c r="C2" s="248"/>
      <c r="D2" s="97"/>
      <c r="E2" s="97"/>
      <c r="F2" s="97"/>
      <c r="G2" s="97"/>
      <c r="H2" s="97"/>
      <c r="I2" s="249" t="s">
        <v>262</v>
      </c>
      <c r="J2" s="249"/>
      <c r="K2" s="250">
        <v>45603</v>
      </c>
      <c r="N2" s="74"/>
      <c r="O2" s="74"/>
      <c r="P2" s="74"/>
      <c r="Q2" s="74"/>
      <c r="R2" s="97"/>
      <c r="S2" s="98" t="s">
        <v>58</v>
      </c>
      <c r="U2" s="74"/>
      <c r="V2" s="74"/>
      <c r="W2" s="74"/>
      <c r="X2" s="74"/>
      <c r="Y2" s="80"/>
      <c r="Z2" s="80"/>
      <c r="AA2" s="80"/>
      <c r="AB2" s="80"/>
      <c r="AC2" s="98"/>
      <c r="AD2" s="98"/>
      <c r="AF2" s="80"/>
      <c r="AG2" s="80"/>
      <c r="AH2" s="80"/>
      <c r="AI2" s="80"/>
    </row>
    <row r="3" spans="1:35" s="52" customFormat="1" ht="18.75" customHeight="1" x14ac:dyDescent="0.25">
      <c r="A3" s="77" t="s">
        <v>56</v>
      </c>
      <c r="B3" s="59"/>
      <c r="C3" s="81"/>
      <c r="D3" s="59"/>
      <c r="E3" s="59"/>
      <c r="F3" s="59"/>
      <c r="G3" s="59"/>
      <c r="H3" s="59"/>
      <c r="I3" s="59"/>
      <c r="J3" s="59"/>
      <c r="K3" s="60"/>
      <c r="N3" s="57"/>
      <c r="O3" s="57"/>
      <c r="P3" s="57"/>
      <c r="Q3" s="57"/>
      <c r="R3" s="57"/>
      <c r="S3" s="57"/>
      <c r="T3" s="57"/>
      <c r="U3" s="57"/>
      <c r="V3" s="57"/>
      <c r="W3" s="57"/>
      <c r="X3" s="57"/>
      <c r="Y3" s="56"/>
      <c r="Z3" s="56"/>
      <c r="AA3" s="56"/>
      <c r="AB3" s="56"/>
      <c r="AD3" s="56"/>
      <c r="AE3" s="56"/>
      <c r="AF3" s="56"/>
      <c r="AG3" s="56"/>
      <c r="AH3" s="56"/>
      <c r="AI3" s="56"/>
    </row>
    <row r="4" spans="1:35" ht="11.25" customHeight="1" x14ac:dyDescent="0.25">
      <c r="A4" s="245"/>
      <c r="B4" s="50"/>
      <c r="C4" s="50"/>
      <c r="D4" s="50"/>
      <c r="E4" s="50"/>
      <c r="F4" s="50"/>
      <c r="G4" s="50"/>
      <c r="H4" s="50"/>
      <c r="I4" s="50"/>
      <c r="J4" s="50"/>
      <c r="K4" s="237"/>
      <c r="L4" s="48"/>
      <c r="M4" s="48"/>
      <c r="N4" s="49"/>
      <c r="O4" s="49"/>
      <c r="P4" s="49"/>
      <c r="Q4" s="49"/>
      <c r="R4" s="49"/>
      <c r="S4" s="49"/>
      <c r="T4" s="49"/>
      <c r="U4" s="49"/>
      <c r="V4" s="49"/>
      <c r="W4" s="49"/>
      <c r="X4" s="49"/>
      <c r="AB4" s="50"/>
      <c r="AC4" s="50"/>
    </row>
    <row r="5" spans="1:35" s="52" customFormat="1" ht="18.75" customHeight="1" thickBot="1" x14ac:dyDescent="0.3">
      <c r="A5" s="178" t="s">
        <v>24</v>
      </c>
      <c r="B5" s="56"/>
      <c r="C5" s="327" t="s">
        <v>94</v>
      </c>
      <c r="D5" s="327"/>
      <c r="E5" s="327"/>
      <c r="F5" s="327"/>
      <c r="G5" s="327"/>
      <c r="H5" s="327"/>
      <c r="I5" s="327"/>
      <c r="J5" s="327"/>
      <c r="K5" s="328"/>
      <c r="L5" s="53"/>
      <c r="M5" s="53"/>
      <c r="N5" s="54"/>
      <c r="O5" s="54"/>
      <c r="P5" s="54"/>
      <c r="Q5" s="54"/>
      <c r="R5" s="54"/>
      <c r="S5" s="54"/>
      <c r="T5" s="54"/>
      <c r="U5" s="54"/>
      <c r="V5" s="54"/>
      <c r="W5" s="54"/>
      <c r="X5" s="54"/>
      <c r="Y5" s="55"/>
      <c r="Z5" s="55"/>
      <c r="AA5" s="55"/>
      <c r="AB5" s="56"/>
      <c r="AC5" s="56"/>
      <c r="AD5" s="56"/>
      <c r="AE5" s="56"/>
      <c r="AF5" s="56"/>
      <c r="AG5" s="56"/>
      <c r="AH5" s="56"/>
      <c r="AI5" s="56"/>
    </row>
    <row r="6" spans="1:35" s="52" customFormat="1" ht="12" customHeight="1" x14ac:dyDescent="0.25">
      <c r="A6" s="233"/>
      <c r="B6" s="56"/>
      <c r="C6" s="235"/>
      <c r="D6" s="236"/>
      <c r="E6" s="56"/>
      <c r="F6" s="241"/>
      <c r="G6" s="242"/>
      <c r="H6" s="241"/>
      <c r="I6" s="243"/>
      <c r="J6" s="243"/>
      <c r="K6" s="244"/>
      <c r="N6" s="54"/>
      <c r="O6" s="54"/>
      <c r="P6" s="54"/>
      <c r="Q6" s="54"/>
      <c r="R6" s="54"/>
      <c r="S6" s="54"/>
      <c r="T6" s="54"/>
      <c r="U6" s="54"/>
      <c r="V6" s="54"/>
      <c r="W6" s="54"/>
      <c r="X6" s="54"/>
      <c r="Y6" s="56"/>
      <c r="Z6" s="56"/>
      <c r="AA6" s="56"/>
      <c r="AB6" s="56"/>
      <c r="AC6" s="56"/>
      <c r="AD6" s="56"/>
      <c r="AE6" s="56"/>
      <c r="AF6" s="56"/>
      <c r="AG6" s="56"/>
      <c r="AH6" s="56"/>
      <c r="AI6" s="56"/>
    </row>
    <row r="7" spans="1:35" s="52" customFormat="1" ht="18.75" customHeight="1" thickBot="1" x14ac:dyDescent="0.3">
      <c r="A7" s="178" t="s">
        <v>71</v>
      </c>
      <c r="B7" s="56"/>
      <c r="C7" s="327" t="s">
        <v>102</v>
      </c>
      <c r="D7" s="327"/>
      <c r="E7" s="327"/>
      <c r="F7" s="327"/>
      <c r="G7" s="327"/>
      <c r="H7" s="327"/>
      <c r="I7" s="327"/>
      <c r="J7" s="327"/>
      <c r="K7" s="328"/>
      <c r="L7" s="53"/>
      <c r="M7" s="53"/>
      <c r="N7" s="54"/>
      <c r="O7" s="54"/>
      <c r="P7" s="54"/>
      <c r="Q7" s="54"/>
      <c r="R7" s="54"/>
      <c r="S7" s="54"/>
      <c r="T7" s="54"/>
      <c r="U7" s="54"/>
      <c r="V7" s="54"/>
      <c r="W7" s="54"/>
      <c r="X7" s="54"/>
      <c r="Y7" s="56"/>
      <c r="Z7" s="56"/>
      <c r="AA7" s="56"/>
      <c r="AB7" s="56"/>
      <c r="AC7" s="56"/>
      <c r="AD7" s="56"/>
      <c r="AE7" s="56"/>
      <c r="AF7" s="56"/>
      <c r="AG7" s="56"/>
      <c r="AH7" s="56"/>
      <c r="AI7" s="56"/>
    </row>
    <row r="8" spans="1:35" s="52" customFormat="1" ht="12" customHeight="1" x14ac:dyDescent="0.25">
      <c r="A8" s="233"/>
      <c r="B8" s="56"/>
      <c r="C8" s="235"/>
      <c r="D8" s="236"/>
      <c r="E8" s="56"/>
      <c r="F8" s="241"/>
      <c r="G8" s="242"/>
      <c r="H8" s="241"/>
      <c r="I8" s="243"/>
      <c r="J8" s="243"/>
      <c r="K8" s="244"/>
      <c r="N8" s="54"/>
      <c r="O8" s="54"/>
      <c r="P8" s="54"/>
      <c r="Q8" s="54"/>
      <c r="R8" s="54"/>
      <c r="S8" s="54"/>
      <c r="T8" s="54"/>
      <c r="U8" s="54"/>
      <c r="V8" s="54"/>
      <c r="W8" s="54"/>
      <c r="X8" s="54"/>
      <c r="Y8" s="56"/>
      <c r="Z8" s="56"/>
      <c r="AA8" s="56"/>
      <c r="AB8" s="56"/>
      <c r="AC8" s="56"/>
      <c r="AD8" s="56"/>
      <c r="AE8" s="56"/>
      <c r="AF8" s="56"/>
      <c r="AG8" s="56"/>
      <c r="AH8" s="56"/>
      <c r="AI8" s="56"/>
    </row>
    <row r="9" spans="1:35" s="52" customFormat="1" ht="18.75" customHeight="1" thickBot="1" x14ac:dyDescent="0.3">
      <c r="A9" s="178" t="s">
        <v>77</v>
      </c>
      <c r="B9" s="56"/>
      <c r="C9" s="327" t="s">
        <v>261</v>
      </c>
      <c r="D9" s="327"/>
      <c r="E9" s="327"/>
      <c r="F9" s="327"/>
      <c r="G9" s="327"/>
      <c r="H9" s="327"/>
      <c r="I9" s="327"/>
      <c r="J9" s="327"/>
      <c r="K9" s="328"/>
      <c r="L9" s="53"/>
      <c r="M9" s="53"/>
      <c r="N9" s="54"/>
      <c r="O9" s="54"/>
      <c r="P9" s="54"/>
      <c r="Q9" s="54"/>
      <c r="R9" s="54"/>
      <c r="S9" s="54"/>
      <c r="T9" s="54"/>
      <c r="U9" s="54"/>
      <c r="V9" s="54"/>
      <c r="W9" s="54"/>
      <c r="X9" s="54"/>
      <c r="Y9" s="56"/>
      <c r="Z9" s="56"/>
      <c r="AA9" s="56"/>
      <c r="AB9" s="56"/>
      <c r="AC9" s="56"/>
      <c r="AD9" s="56"/>
      <c r="AE9" s="56"/>
      <c r="AF9" s="56"/>
      <c r="AG9" s="56"/>
      <c r="AH9" s="56"/>
      <c r="AI9" s="56"/>
    </row>
    <row r="10" spans="1:35" s="52" customFormat="1" ht="11.25" customHeight="1" x14ac:dyDescent="0.25">
      <c r="A10" s="246"/>
      <c r="B10" s="218"/>
      <c r="C10" s="218"/>
      <c r="D10" s="218"/>
      <c r="E10" s="218"/>
      <c r="F10" s="218"/>
      <c r="G10" s="218"/>
      <c r="H10" s="218"/>
      <c r="I10" s="218"/>
      <c r="J10" s="218"/>
      <c r="K10" s="237"/>
      <c r="N10" s="57"/>
      <c r="O10" s="57"/>
      <c r="P10" s="57"/>
      <c r="Q10" s="57"/>
      <c r="R10" s="57"/>
      <c r="S10" s="57"/>
      <c r="T10" s="57"/>
      <c r="U10" s="57"/>
      <c r="V10" s="57"/>
      <c r="W10" s="57"/>
      <c r="X10" s="57"/>
      <c r="Y10" s="56"/>
      <c r="Z10" s="56"/>
      <c r="AA10" s="56"/>
      <c r="AB10" s="56"/>
      <c r="AC10" s="56"/>
      <c r="AD10" s="56"/>
      <c r="AE10" s="56"/>
      <c r="AF10" s="56"/>
      <c r="AG10" s="56"/>
      <c r="AH10" s="56"/>
      <c r="AI10" s="56"/>
    </row>
    <row r="11" spans="1:35" s="52" customFormat="1" ht="18.75" customHeight="1" x14ac:dyDescent="0.25">
      <c r="A11" s="77" t="s">
        <v>103</v>
      </c>
      <c r="B11" s="59"/>
      <c r="C11" s="81"/>
      <c r="D11" s="59"/>
      <c r="E11" s="59"/>
      <c r="F11" s="59"/>
      <c r="G11" s="59"/>
      <c r="H11" s="59"/>
      <c r="I11" s="59"/>
      <c r="J11" s="59"/>
      <c r="K11" s="60"/>
      <c r="N11" s="57"/>
      <c r="O11" s="57"/>
      <c r="P11" s="57"/>
      <c r="Q11" s="57"/>
      <c r="R11" s="57"/>
      <c r="S11" s="57"/>
      <c r="T11" s="57"/>
      <c r="U11" s="57"/>
      <c r="V11" s="57"/>
      <c r="W11" s="57"/>
      <c r="X11" s="57"/>
      <c r="Y11" s="56"/>
      <c r="Z11" s="56"/>
      <c r="AA11" s="56"/>
      <c r="AB11" s="56"/>
      <c r="AC11" s="56"/>
      <c r="AD11" s="56"/>
      <c r="AE11" s="56"/>
      <c r="AF11" s="56"/>
      <c r="AG11" s="56"/>
      <c r="AH11" s="56"/>
      <c r="AI11" s="56"/>
    </row>
    <row r="12" spans="1:35" s="52" customFormat="1" ht="10.5" customHeight="1" x14ac:dyDescent="0.25">
      <c r="A12" s="178"/>
      <c r="B12" s="56"/>
      <c r="C12" s="218"/>
      <c r="D12" s="56"/>
      <c r="E12" s="56"/>
      <c r="F12" s="56"/>
      <c r="G12" s="56"/>
      <c r="H12" s="56"/>
      <c r="I12" s="56"/>
      <c r="J12" s="56"/>
      <c r="K12" s="210"/>
      <c r="N12" s="57"/>
      <c r="O12" s="57"/>
      <c r="P12" s="57"/>
      <c r="Q12" s="57"/>
      <c r="R12" s="57"/>
      <c r="S12" s="57"/>
      <c r="T12" s="57"/>
      <c r="U12" s="57"/>
      <c r="V12" s="57"/>
      <c r="W12" s="57"/>
      <c r="X12" s="57"/>
      <c r="Y12" s="56"/>
      <c r="Z12" s="56"/>
      <c r="AA12" s="56"/>
      <c r="AB12" s="56"/>
      <c r="AC12" s="56"/>
      <c r="AD12" s="56"/>
      <c r="AE12" s="56"/>
      <c r="AF12" s="56"/>
      <c r="AG12" s="56"/>
      <c r="AH12" s="56"/>
      <c r="AI12" s="56"/>
    </row>
    <row r="13" spans="1:35" s="52" customFormat="1" ht="18.75" customHeight="1" x14ac:dyDescent="0.25">
      <c r="A13" s="233" t="s">
        <v>28</v>
      </c>
      <c r="B13" s="56"/>
      <c r="C13" s="239" t="s">
        <v>54</v>
      </c>
      <c r="D13" s="236"/>
      <c r="E13" s="235" t="s">
        <v>110</v>
      </c>
      <c r="F13" s="56"/>
      <c r="G13" s="56"/>
      <c r="H13" s="56"/>
      <c r="I13" s="236"/>
      <c r="J13" s="236"/>
      <c r="K13" s="237"/>
      <c r="L13" s="53"/>
      <c r="M13" s="53"/>
      <c r="N13" s="54"/>
      <c r="O13" s="54"/>
      <c r="P13" s="54"/>
      <c r="Q13" s="54"/>
      <c r="R13" s="54"/>
      <c r="S13" s="54"/>
      <c r="T13" s="54"/>
      <c r="U13" s="54"/>
      <c r="V13" s="54"/>
      <c r="W13" s="54"/>
      <c r="X13" s="54"/>
      <c r="Y13" s="56"/>
      <c r="Z13" s="56"/>
      <c r="AA13" s="56"/>
      <c r="AB13" s="56"/>
      <c r="AC13" s="56"/>
      <c r="AD13" s="56"/>
      <c r="AE13" s="56"/>
      <c r="AF13" s="56"/>
      <c r="AG13" s="56"/>
      <c r="AH13" s="56"/>
      <c r="AI13" s="56"/>
    </row>
    <row r="14" spans="1:35" s="52" customFormat="1" ht="10.5" customHeight="1" x14ac:dyDescent="0.25">
      <c r="A14" s="233"/>
      <c r="B14" s="56"/>
      <c r="C14" s="239"/>
      <c r="D14" s="236"/>
      <c r="E14" s="235"/>
      <c r="F14" s="56"/>
      <c r="G14" s="56"/>
      <c r="H14" s="56"/>
      <c r="I14" s="236"/>
      <c r="J14" s="236"/>
      <c r="K14" s="210"/>
      <c r="N14" s="54"/>
      <c r="O14" s="54"/>
      <c r="P14" s="54"/>
      <c r="Q14" s="54"/>
      <c r="R14" s="54"/>
      <c r="S14" s="54"/>
      <c r="T14" s="54"/>
      <c r="U14" s="54"/>
      <c r="V14" s="54"/>
      <c r="W14" s="54"/>
      <c r="X14" s="54"/>
      <c r="Y14" s="56"/>
      <c r="Z14" s="56"/>
      <c r="AA14" s="56"/>
      <c r="AB14" s="56"/>
      <c r="AC14" s="56"/>
      <c r="AD14" s="56"/>
      <c r="AE14" s="56"/>
      <c r="AF14" s="56"/>
      <c r="AG14" s="56"/>
      <c r="AH14" s="56"/>
      <c r="AI14" s="56"/>
    </row>
    <row r="15" spans="1:35" s="52" customFormat="1" ht="18.75" customHeight="1" thickBot="1" x14ac:dyDescent="0.3">
      <c r="A15" s="233" t="s">
        <v>31</v>
      </c>
      <c r="B15" s="56"/>
      <c r="C15" s="327" t="s">
        <v>105</v>
      </c>
      <c r="D15" s="327"/>
      <c r="E15" s="327"/>
      <c r="F15" s="327"/>
      <c r="G15" s="327"/>
      <c r="H15" s="327"/>
      <c r="I15" s="327"/>
      <c r="J15" s="327"/>
      <c r="K15" s="328"/>
      <c r="L15" s="53"/>
      <c r="M15" s="53"/>
      <c r="N15" s="54"/>
      <c r="O15" s="54"/>
      <c r="P15" s="54"/>
      <c r="Q15" s="54"/>
      <c r="R15" s="54"/>
      <c r="S15" s="54"/>
      <c r="T15" s="54"/>
      <c r="U15" s="54"/>
      <c r="V15" s="54"/>
      <c r="W15" s="54"/>
      <c r="X15" s="54"/>
      <c r="Y15" s="56"/>
      <c r="Z15" s="56"/>
      <c r="AA15" s="56"/>
      <c r="AB15" s="56"/>
      <c r="AC15" s="56"/>
      <c r="AD15" s="56"/>
      <c r="AE15" s="56"/>
      <c r="AF15" s="56"/>
      <c r="AG15" s="56"/>
      <c r="AH15" s="56"/>
      <c r="AI15" s="56"/>
    </row>
    <row r="16" spans="1:35" s="52" customFormat="1" ht="12" customHeight="1" x14ac:dyDescent="0.25">
      <c r="A16" s="233"/>
      <c r="B16" s="56"/>
      <c r="C16" s="235"/>
      <c r="D16" s="236"/>
      <c r="E16" s="56"/>
      <c r="F16" s="241"/>
      <c r="G16" s="242"/>
      <c r="H16" s="241"/>
      <c r="I16" s="243"/>
      <c r="J16" s="243"/>
      <c r="K16" s="244"/>
      <c r="N16" s="54"/>
      <c r="O16" s="54"/>
      <c r="P16" s="54"/>
      <c r="Q16" s="54"/>
      <c r="R16" s="54"/>
      <c r="S16" s="54"/>
      <c r="T16" s="54"/>
      <c r="U16" s="54"/>
      <c r="V16" s="54"/>
      <c r="W16" s="54"/>
      <c r="X16" s="54"/>
      <c r="Y16" s="56"/>
      <c r="Z16" s="56"/>
      <c r="AA16" s="56"/>
      <c r="AB16" s="56"/>
      <c r="AC16" s="56"/>
      <c r="AD16" s="56"/>
      <c r="AE16" s="56"/>
      <c r="AF16" s="56"/>
      <c r="AG16" s="56"/>
      <c r="AH16" s="56"/>
      <c r="AI16" s="56"/>
    </row>
    <row r="17" spans="1:35" s="52" customFormat="1" ht="18.75" customHeight="1" thickBot="1" x14ac:dyDescent="0.3">
      <c r="A17" s="233" t="s">
        <v>104</v>
      </c>
      <c r="B17" s="56"/>
      <c r="C17" s="332">
        <v>0.6</v>
      </c>
      <c r="D17" s="332"/>
      <c r="E17" s="332"/>
      <c r="F17" s="323" t="s">
        <v>72</v>
      </c>
      <c r="G17" s="323"/>
      <c r="H17" s="329" t="s">
        <v>95</v>
      </c>
      <c r="I17" s="329"/>
      <c r="J17" s="329"/>
      <c r="K17" s="330"/>
      <c r="L17" s="53"/>
      <c r="M17" s="53"/>
      <c r="N17" s="54"/>
      <c r="O17" s="54"/>
      <c r="P17" s="54"/>
      <c r="Q17" s="54"/>
      <c r="R17" s="54"/>
      <c r="S17" s="54"/>
      <c r="T17" s="54"/>
      <c r="U17" s="54"/>
      <c r="V17" s="54"/>
      <c r="W17" s="54"/>
      <c r="X17" s="54"/>
      <c r="Y17" s="56"/>
      <c r="Z17" s="56"/>
      <c r="AA17" s="56"/>
      <c r="AB17" s="56"/>
      <c r="AC17" s="56"/>
      <c r="AD17" s="56"/>
      <c r="AE17" s="56"/>
      <c r="AF17" s="56"/>
      <c r="AG17" s="56"/>
      <c r="AH17" s="56"/>
      <c r="AI17" s="56"/>
    </row>
    <row r="18" spans="1:35" s="52" customFormat="1" ht="11.25" customHeight="1" x14ac:dyDescent="0.25">
      <c r="A18" s="240"/>
      <c r="B18" s="56"/>
      <c r="C18" s="239"/>
      <c r="D18" s="56"/>
      <c r="E18" s="179"/>
      <c r="F18" s="56"/>
      <c r="G18" s="56"/>
      <c r="H18" s="56"/>
      <c r="I18" s="56"/>
      <c r="J18" s="56"/>
      <c r="K18" s="210"/>
      <c r="N18" s="57"/>
      <c r="O18" s="57"/>
      <c r="P18" s="57"/>
      <c r="Q18" s="57"/>
      <c r="R18" s="57"/>
      <c r="S18" s="57"/>
      <c r="T18" s="57"/>
      <c r="U18" s="57"/>
      <c r="V18" s="57"/>
      <c r="W18" s="57"/>
      <c r="X18" s="57"/>
      <c r="Y18" s="56"/>
      <c r="Z18" s="56"/>
      <c r="AA18" s="56"/>
      <c r="AB18" s="56"/>
      <c r="AC18" s="56"/>
      <c r="AD18" s="56"/>
      <c r="AE18" s="56"/>
      <c r="AF18" s="56"/>
      <c r="AG18" s="56"/>
      <c r="AH18" s="56"/>
      <c r="AI18" s="56"/>
    </row>
    <row r="19" spans="1:35" s="52" customFormat="1" ht="18.75" customHeight="1" x14ac:dyDescent="0.25">
      <c r="A19" s="77" t="s">
        <v>253</v>
      </c>
      <c r="B19" s="59"/>
      <c r="C19" s="81"/>
      <c r="D19" s="59"/>
      <c r="E19" s="59"/>
      <c r="F19" s="59"/>
      <c r="G19" s="59"/>
      <c r="H19" s="59"/>
      <c r="I19" s="59"/>
      <c r="J19" s="59"/>
      <c r="K19" s="60"/>
      <c r="N19" s="57"/>
      <c r="O19" s="57"/>
      <c r="P19" s="57"/>
      <c r="Q19" s="57"/>
      <c r="R19" s="57"/>
      <c r="S19" s="57"/>
      <c r="T19" s="57"/>
      <c r="U19" s="57"/>
      <c r="V19" s="57"/>
      <c r="W19" s="57"/>
      <c r="X19" s="57"/>
      <c r="Y19" s="56"/>
      <c r="Z19" s="56"/>
      <c r="AA19" s="56"/>
      <c r="AB19" s="56"/>
      <c r="AC19" s="56"/>
      <c r="AD19" s="56"/>
      <c r="AE19" s="56"/>
      <c r="AF19" s="56"/>
      <c r="AG19" s="56"/>
      <c r="AH19" s="56"/>
      <c r="AI19" s="56"/>
    </row>
    <row r="20" spans="1:35" s="52" customFormat="1" ht="10.5" customHeight="1" x14ac:dyDescent="0.25">
      <c r="A20" s="178"/>
      <c r="B20" s="56"/>
      <c r="C20" s="218"/>
      <c r="D20" s="56"/>
      <c r="E20" s="56"/>
      <c r="F20" s="56"/>
      <c r="G20" s="56"/>
      <c r="H20" s="56"/>
      <c r="I20" s="56"/>
      <c r="J20" s="56"/>
      <c r="K20" s="210"/>
      <c r="N20" s="57"/>
      <c r="O20" s="57"/>
      <c r="P20" s="57"/>
      <c r="Q20" s="57"/>
      <c r="R20" s="57"/>
      <c r="S20" s="57"/>
      <c r="T20" s="57"/>
      <c r="U20" s="57"/>
      <c r="V20" s="57"/>
      <c r="W20" s="57"/>
      <c r="X20" s="57"/>
      <c r="Y20" s="56"/>
      <c r="Z20" s="56"/>
      <c r="AA20" s="56"/>
      <c r="AB20" s="56"/>
      <c r="AC20" s="56"/>
      <c r="AD20" s="56"/>
      <c r="AE20" s="56"/>
      <c r="AF20" s="56"/>
      <c r="AG20" s="56"/>
      <c r="AH20" s="56"/>
      <c r="AI20" s="56"/>
    </row>
    <row r="21" spans="1:35" s="52" customFormat="1" ht="18.75" customHeight="1" thickBot="1" x14ac:dyDescent="0.3">
      <c r="A21" s="233" t="s">
        <v>1</v>
      </c>
      <c r="B21" s="56"/>
      <c r="C21" s="329">
        <v>0.5</v>
      </c>
      <c r="D21" s="329"/>
      <c r="E21" s="329"/>
      <c r="F21" s="323" t="s">
        <v>0</v>
      </c>
      <c r="G21" s="323"/>
      <c r="H21" s="329">
        <v>80</v>
      </c>
      <c r="I21" s="329"/>
      <c r="J21" s="329"/>
      <c r="K21" s="330"/>
      <c r="L21" s="53"/>
      <c r="M21" s="53"/>
      <c r="N21" s="54"/>
      <c r="O21" s="54"/>
      <c r="P21" s="54"/>
      <c r="Q21" s="54"/>
      <c r="R21" s="54"/>
      <c r="S21" s="54"/>
      <c r="T21" s="54"/>
      <c r="U21" s="54"/>
      <c r="V21" s="54"/>
      <c r="W21" s="54"/>
      <c r="X21" s="54"/>
      <c r="Y21" s="56"/>
      <c r="Z21" s="56"/>
      <c r="AA21" s="56"/>
      <c r="AB21" s="56"/>
      <c r="AC21" s="56"/>
      <c r="AD21" s="56"/>
      <c r="AE21" s="56"/>
      <c r="AF21" s="56"/>
      <c r="AG21" s="56"/>
      <c r="AH21" s="56"/>
      <c r="AI21" s="56"/>
    </row>
    <row r="22" spans="1:35" s="52" customFormat="1" ht="18.75" customHeight="1" thickBot="1" x14ac:dyDescent="0.3">
      <c r="A22" s="233" t="s">
        <v>66</v>
      </c>
      <c r="B22" s="56"/>
      <c r="C22" s="331">
        <f>0.01*((H21*0.9)+(100-H21)*0.3)</f>
        <v>0.78</v>
      </c>
      <c r="D22" s="331"/>
      <c r="E22" s="331"/>
      <c r="F22" s="56"/>
      <c r="G22" s="56"/>
      <c r="H22" s="56"/>
      <c r="I22" s="236"/>
      <c r="J22" s="236"/>
      <c r="K22" s="237"/>
      <c r="L22" s="53"/>
      <c r="M22" s="53"/>
      <c r="N22" s="54"/>
      <c r="O22" s="54"/>
      <c r="P22" s="54"/>
      <c r="Q22" s="54"/>
      <c r="R22" s="54"/>
      <c r="S22" s="54"/>
      <c r="T22" s="54"/>
      <c r="U22" s="54"/>
      <c r="V22" s="54"/>
      <c r="W22" s="54"/>
      <c r="X22" s="54"/>
      <c r="Y22" s="56"/>
      <c r="Z22" s="56"/>
      <c r="AA22" s="56"/>
      <c r="AB22" s="56"/>
      <c r="AC22" s="56"/>
      <c r="AD22" s="56"/>
      <c r="AE22" s="56"/>
      <c r="AF22" s="56"/>
      <c r="AG22" s="56"/>
      <c r="AH22" s="56"/>
      <c r="AI22" s="56"/>
    </row>
    <row r="23" spans="1:35" s="52" customFormat="1" ht="11.25" customHeight="1" x14ac:dyDescent="0.25">
      <c r="A23" s="238"/>
      <c r="B23" s="239"/>
      <c r="C23" s="56"/>
      <c r="D23" s="56"/>
      <c r="E23" s="56"/>
      <c r="F23" s="56"/>
      <c r="G23" s="56"/>
      <c r="H23" s="56"/>
      <c r="I23" s="56"/>
      <c r="J23" s="56"/>
      <c r="K23" s="210"/>
      <c r="N23" s="57"/>
      <c r="O23" s="57"/>
      <c r="P23" s="57"/>
      <c r="Q23" s="57"/>
      <c r="R23" s="57"/>
      <c r="S23" s="57"/>
      <c r="T23" s="57"/>
      <c r="U23" s="57"/>
      <c r="V23" s="57"/>
      <c r="W23" s="57"/>
      <c r="X23" s="57"/>
      <c r="Y23" s="56"/>
      <c r="Z23" s="56"/>
      <c r="AA23" s="56"/>
      <c r="AB23" s="56"/>
      <c r="AC23" s="56"/>
      <c r="AD23" s="56"/>
      <c r="AE23" s="56"/>
      <c r="AF23" s="56"/>
      <c r="AG23" s="56"/>
      <c r="AH23" s="56"/>
      <c r="AI23" s="56"/>
    </row>
    <row r="24" spans="1:35" s="52" customFormat="1" ht="18.75" customHeight="1" x14ac:dyDescent="0.25">
      <c r="A24" s="77" t="s">
        <v>101</v>
      </c>
      <c r="B24" s="59"/>
      <c r="C24" s="59"/>
      <c r="D24" s="59"/>
      <c r="E24" s="59"/>
      <c r="F24" s="59"/>
      <c r="G24" s="59"/>
      <c r="H24" s="59"/>
      <c r="I24" s="59"/>
      <c r="J24" s="59"/>
      <c r="K24" s="60"/>
      <c r="M24" s="61"/>
      <c r="N24" s="62"/>
      <c r="O24" s="62"/>
      <c r="P24" s="62"/>
      <c r="Q24" s="62"/>
      <c r="R24" s="62"/>
      <c r="S24" s="62"/>
      <c r="T24" s="62"/>
      <c r="U24" s="62"/>
      <c r="V24" s="62"/>
      <c r="W24" s="62"/>
      <c r="X24" s="62"/>
      <c r="Y24" s="56"/>
      <c r="Z24" s="56"/>
      <c r="AA24" s="56"/>
      <c r="AB24" s="56"/>
      <c r="AC24" s="56"/>
      <c r="AD24" s="56"/>
      <c r="AE24" s="56"/>
      <c r="AF24" s="56"/>
      <c r="AG24" s="56"/>
      <c r="AH24" s="56"/>
      <c r="AI24" s="56"/>
    </row>
    <row r="25" spans="1:35" s="52" customFormat="1" ht="11.25" customHeight="1" x14ac:dyDescent="0.25">
      <c r="A25" s="215"/>
      <c r="B25" s="216"/>
      <c r="C25" s="216"/>
      <c r="D25" s="216"/>
      <c r="E25" s="216"/>
      <c r="F25" s="216"/>
      <c r="G25" s="216"/>
      <c r="H25" s="216"/>
      <c r="I25" s="216"/>
      <c r="J25" s="216"/>
      <c r="K25" s="217"/>
      <c r="M25" s="61"/>
      <c r="N25" s="62"/>
      <c r="O25" s="62"/>
      <c r="P25" s="62"/>
      <c r="Q25" s="62"/>
      <c r="R25" s="62"/>
      <c r="S25" s="62"/>
      <c r="T25" s="62"/>
      <c r="U25" s="62"/>
      <c r="V25" s="62"/>
      <c r="W25" s="62"/>
      <c r="X25" s="62"/>
      <c r="Y25" s="56"/>
      <c r="Z25" s="56"/>
      <c r="AA25" s="56"/>
      <c r="AB25" s="56"/>
      <c r="AC25" s="56"/>
      <c r="AD25" s="56"/>
      <c r="AE25" s="56"/>
      <c r="AF25" s="56"/>
      <c r="AG25" s="56"/>
      <c r="AH25" s="56"/>
      <c r="AI25" s="56"/>
    </row>
    <row r="26" spans="1:35" s="52" customFormat="1" ht="18.75" customHeight="1" x14ac:dyDescent="0.25">
      <c r="A26" s="233" t="s">
        <v>61</v>
      </c>
      <c r="B26" s="56"/>
      <c r="C26" s="235" t="s">
        <v>96</v>
      </c>
      <c r="D26" s="236"/>
      <c r="E26" s="56"/>
      <c r="F26" s="56"/>
      <c r="G26" s="235" t="s">
        <v>62</v>
      </c>
      <c r="H26" s="56"/>
      <c r="I26" s="236"/>
      <c r="J26" s="236"/>
      <c r="K26" s="237"/>
      <c r="L26" s="53"/>
      <c r="M26" s="53"/>
      <c r="N26" s="54"/>
      <c r="O26" s="54"/>
      <c r="P26" s="54"/>
      <c r="Q26" s="54"/>
      <c r="R26" s="54"/>
      <c r="S26" s="54"/>
      <c r="T26" s="54"/>
      <c r="U26" s="54"/>
      <c r="V26" s="54"/>
      <c r="W26" s="54"/>
      <c r="X26" s="54"/>
      <c r="Y26" s="56"/>
      <c r="Z26" s="56"/>
      <c r="AA26" s="56"/>
      <c r="AB26" s="56"/>
      <c r="AC26" s="56"/>
      <c r="AD26" s="56"/>
      <c r="AE26" s="56"/>
      <c r="AF26" s="56"/>
      <c r="AG26" s="56"/>
      <c r="AH26" s="56"/>
      <c r="AI26" s="56"/>
    </row>
    <row r="27" spans="1:35" s="52" customFormat="1" ht="12" customHeight="1" x14ac:dyDescent="0.25">
      <c r="A27" s="233"/>
      <c r="B27" s="56"/>
      <c r="C27" s="235"/>
      <c r="D27" s="236"/>
      <c r="E27" s="56"/>
      <c r="F27" s="56"/>
      <c r="G27" s="235"/>
      <c r="H27" s="56"/>
      <c r="I27" s="236"/>
      <c r="J27" s="236"/>
      <c r="K27" s="237"/>
      <c r="N27" s="54"/>
      <c r="O27" s="54"/>
      <c r="P27" s="54"/>
      <c r="Q27" s="54"/>
      <c r="R27" s="54"/>
      <c r="S27" s="54"/>
      <c r="T27" s="54"/>
      <c r="U27" s="54"/>
      <c r="V27" s="54"/>
      <c r="W27" s="54"/>
      <c r="X27" s="54"/>
      <c r="Y27" s="56"/>
      <c r="Z27" s="56"/>
      <c r="AA27" s="56"/>
      <c r="AB27" s="56"/>
      <c r="AC27" s="56"/>
      <c r="AD27" s="56"/>
      <c r="AE27" s="56"/>
      <c r="AF27" s="56"/>
      <c r="AG27" s="56"/>
      <c r="AH27" s="56"/>
      <c r="AI27" s="56"/>
    </row>
    <row r="28" spans="1:35" s="52" customFormat="1" ht="18.75" customHeight="1" thickBot="1" x14ac:dyDescent="0.3">
      <c r="A28" s="233" t="s">
        <v>3</v>
      </c>
      <c r="B28" s="56"/>
      <c r="C28" s="321" t="s">
        <v>225</v>
      </c>
      <c r="D28" s="321"/>
      <c r="E28" s="321"/>
      <c r="F28" s="321"/>
      <c r="G28" s="321"/>
      <c r="H28" s="321"/>
      <c r="I28" s="321"/>
      <c r="J28" s="321"/>
      <c r="K28" s="322"/>
      <c r="L28" s="53"/>
      <c r="M28" s="53"/>
      <c r="N28" s="54"/>
      <c r="O28" s="54"/>
      <c r="P28" s="54"/>
      <c r="Q28" s="54"/>
      <c r="R28" s="54"/>
      <c r="S28" s="54"/>
      <c r="T28" s="54"/>
      <c r="U28" s="54"/>
      <c r="V28" s="54"/>
      <c r="W28" s="54"/>
      <c r="X28" s="54"/>
      <c r="Y28" s="56"/>
      <c r="Z28" s="56"/>
      <c r="AA28" s="56"/>
      <c r="AB28" s="56"/>
      <c r="AC28" s="56"/>
      <c r="AD28" s="56"/>
      <c r="AE28" s="56"/>
      <c r="AF28" s="56"/>
      <c r="AG28" s="56"/>
      <c r="AH28" s="56"/>
      <c r="AI28" s="56"/>
    </row>
    <row r="29" spans="1:35" s="52" customFormat="1" ht="12" customHeight="1" x14ac:dyDescent="0.25">
      <c r="A29" s="233"/>
      <c r="B29" s="56"/>
      <c r="C29" s="235"/>
      <c r="D29" s="236"/>
      <c r="E29" s="56"/>
      <c r="F29" s="241"/>
      <c r="G29" s="242"/>
      <c r="H29" s="241"/>
      <c r="I29" s="243"/>
      <c r="J29" s="243"/>
      <c r="K29" s="244"/>
      <c r="N29" s="54"/>
      <c r="O29" s="54"/>
      <c r="P29" s="54"/>
      <c r="Q29" s="54"/>
      <c r="R29" s="54"/>
      <c r="S29" s="54"/>
      <c r="T29" s="54"/>
      <c r="U29" s="54"/>
      <c r="V29" s="54"/>
      <c r="W29" s="54"/>
      <c r="X29" s="54"/>
      <c r="Y29" s="56"/>
      <c r="Z29" s="56"/>
      <c r="AA29" s="56"/>
      <c r="AB29" s="56"/>
      <c r="AC29" s="56"/>
      <c r="AD29" s="56"/>
      <c r="AE29" s="56"/>
      <c r="AF29" s="56"/>
      <c r="AG29" s="56"/>
      <c r="AH29" s="56"/>
      <c r="AI29" s="56"/>
    </row>
    <row r="30" spans="1:35" s="52" customFormat="1" ht="18.75" customHeight="1" thickBot="1" x14ac:dyDescent="0.3">
      <c r="A30" s="233" t="s">
        <v>4</v>
      </c>
      <c r="B30" s="56"/>
      <c r="C30" s="329" t="s">
        <v>240</v>
      </c>
      <c r="D30" s="329"/>
      <c r="E30" s="329"/>
      <c r="F30" s="323" t="s">
        <v>73</v>
      </c>
      <c r="G30" s="323"/>
      <c r="H30" s="329" t="s">
        <v>270</v>
      </c>
      <c r="I30" s="329"/>
      <c r="J30" s="329"/>
      <c r="K30" s="330"/>
      <c r="L30" s="53"/>
      <c r="M30" s="53"/>
      <c r="N30" s="54"/>
      <c r="O30" s="54"/>
      <c r="P30" s="54"/>
      <c r="Q30" s="54"/>
      <c r="R30" s="54"/>
      <c r="S30" s="54"/>
      <c r="T30" s="54"/>
      <c r="U30" s="54"/>
      <c r="V30" s="54"/>
      <c r="W30" s="54"/>
      <c r="X30" s="54"/>
      <c r="Y30" s="56"/>
      <c r="Z30" s="56"/>
      <c r="AA30" s="56"/>
      <c r="AB30" s="56"/>
      <c r="AC30" s="56"/>
      <c r="AD30" s="56"/>
      <c r="AE30" s="56"/>
      <c r="AF30" s="56"/>
      <c r="AG30" s="56"/>
      <c r="AH30" s="56"/>
      <c r="AI30" s="56"/>
    </row>
    <row r="31" spans="1:35" s="52" customFormat="1" ht="12" customHeight="1" x14ac:dyDescent="0.25">
      <c r="A31" s="233"/>
      <c r="B31" s="56"/>
      <c r="C31" s="235"/>
      <c r="D31" s="236"/>
      <c r="E31" s="56"/>
      <c r="F31" s="56"/>
      <c r="G31" s="235"/>
      <c r="H31" s="56"/>
      <c r="I31" s="252"/>
      <c r="J31" s="252"/>
      <c r="K31" s="237"/>
      <c r="N31" s="54"/>
      <c r="O31" s="54"/>
      <c r="P31" s="54"/>
      <c r="Q31" s="54"/>
      <c r="R31" s="54"/>
      <c r="S31" s="54"/>
      <c r="T31" s="54"/>
      <c r="U31" s="54"/>
      <c r="V31" s="54"/>
      <c r="W31" s="54"/>
      <c r="X31" s="54"/>
      <c r="Y31" s="56"/>
      <c r="Z31" s="56"/>
      <c r="AA31" s="56"/>
      <c r="AB31" s="56"/>
      <c r="AC31" s="56"/>
      <c r="AD31" s="56"/>
      <c r="AE31" s="56"/>
      <c r="AF31" s="56"/>
      <c r="AG31" s="56"/>
      <c r="AH31" s="56"/>
      <c r="AI31" s="56"/>
    </row>
    <row r="32" spans="1:35" s="52" customFormat="1" ht="29.25" customHeight="1" thickBot="1" x14ac:dyDescent="0.3">
      <c r="A32" s="234"/>
      <c r="B32" s="56"/>
      <c r="C32" s="347" t="s">
        <v>26</v>
      </c>
      <c r="D32" s="347"/>
      <c r="E32" s="94" t="s">
        <v>179</v>
      </c>
      <c r="F32" s="94" t="s">
        <v>2</v>
      </c>
      <c r="G32" s="94" t="s">
        <v>180</v>
      </c>
      <c r="H32" s="95" t="s">
        <v>100</v>
      </c>
      <c r="I32" s="251" t="s">
        <v>63</v>
      </c>
      <c r="J32" s="251"/>
      <c r="K32" s="284" t="s">
        <v>257</v>
      </c>
      <c r="L32" s="61"/>
      <c r="M32" s="61"/>
      <c r="N32" s="57"/>
      <c r="O32" s="57"/>
      <c r="P32" s="57"/>
      <c r="Q32" s="57"/>
      <c r="R32" s="57"/>
      <c r="S32" s="57"/>
      <c r="T32" s="57"/>
      <c r="U32" s="57"/>
      <c r="V32" s="57"/>
      <c r="W32" s="57"/>
      <c r="X32" s="57"/>
      <c r="Y32" s="56"/>
      <c r="Z32" s="56"/>
      <c r="AA32" s="56"/>
      <c r="AB32" s="56"/>
      <c r="AC32" s="56"/>
      <c r="AD32" s="56"/>
      <c r="AE32" s="56"/>
      <c r="AF32" s="56"/>
      <c r="AG32" s="56"/>
      <c r="AH32" s="56"/>
      <c r="AI32" s="56"/>
    </row>
    <row r="33" spans="1:35" s="52" customFormat="1" ht="18.75" customHeight="1" thickBot="1" x14ac:dyDescent="0.3">
      <c r="A33" s="96" t="s">
        <v>78</v>
      </c>
      <c r="B33" s="99"/>
      <c r="C33" s="344" t="str">
        <f>_xlfn.XLOOKUP(C30,'Rainfall &amp; Maintenance'!A66:A77,'Rainfall &amp; Maintenance'!B66:B77)</f>
        <v>DM1200</v>
      </c>
      <c r="D33" s="345"/>
      <c r="E33" s="286">
        <f>_xlfn.XLOOKUP(C33,Table1[Model],Table1[Diameter])</f>
        <v>1.2190000000000001</v>
      </c>
      <c r="F33" s="286">
        <f>3.14*(E33/2)^2</f>
        <v>1.1664793850000004</v>
      </c>
      <c r="G33" s="286">
        <f>_xlfn.XLOOKUP(C33,Table1[Model],Table1[Chamber depth])</f>
        <v>1.524</v>
      </c>
      <c r="H33" s="286">
        <f>_xlfn.XLOOKUP(C33,Table1[Model],Table1[Max. rec. Sed. Depth])</f>
        <v>0.2</v>
      </c>
      <c r="I33" s="305">
        <f>G33/E33</f>
        <v>1.2502050861361771</v>
      </c>
      <c r="J33" s="286"/>
      <c r="K33" s="306">
        <v>1</v>
      </c>
      <c r="L33" s="71"/>
      <c r="M33" s="71"/>
      <c r="N33" s="64"/>
      <c r="O33" s="64"/>
      <c r="P33" s="64"/>
      <c r="Q33" s="64"/>
      <c r="R33" s="64"/>
      <c r="S33" s="64"/>
      <c r="T33" s="64"/>
      <c r="U33" s="64"/>
      <c r="V33" s="64"/>
      <c r="W33" s="64"/>
      <c r="X33" s="64"/>
      <c r="Y33" s="56"/>
      <c r="Z33" s="56"/>
      <c r="AA33" s="56"/>
      <c r="AB33" s="56"/>
      <c r="AC33" s="56"/>
      <c r="AD33" s="56"/>
      <c r="AE33" s="56"/>
      <c r="AF33" s="56"/>
      <c r="AG33" s="56"/>
      <c r="AH33" s="56"/>
      <c r="AI33" s="56"/>
    </row>
    <row r="34" spans="1:35" s="52" customFormat="1" ht="18.75" customHeight="1" thickBot="1" x14ac:dyDescent="0.3">
      <c r="A34" s="96" t="s">
        <v>74</v>
      </c>
      <c r="B34" s="82"/>
      <c r="C34" s="346" t="str">
        <f>H30</f>
        <v>DM-1500</v>
      </c>
      <c r="D34" s="346"/>
      <c r="E34" s="130">
        <v>2.44</v>
      </c>
      <c r="F34" s="286">
        <f>3.14*(E34/2)^2</f>
        <v>4.6735759999999997</v>
      </c>
      <c r="G34" s="130">
        <v>2.59</v>
      </c>
      <c r="H34" s="130">
        <v>1.88</v>
      </c>
      <c r="I34" s="305">
        <f>G34/E34</f>
        <v>1.0614754098360655</v>
      </c>
      <c r="J34" s="286"/>
      <c r="K34" s="306">
        <f>I34/I33</f>
        <v>0.84904102663396586</v>
      </c>
      <c r="L34" s="71"/>
      <c r="M34" s="71"/>
      <c r="N34" s="64"/>
      <c r="O34" s="64"/>
      <c r="P34" s="64"/>
      <c r="Q34" s="64"/>
      <c r="R34" s="64"/>
      <c r="S34" s="64"/>
      <c r="T34" s="64"/>
      <c r="U34" s="64"/>
      <c r="V34" s="64"/>
      <c r="W34" s="64"/>
      <c r="X34" s="64"/>
      <c r="Y34" s="56"/>
      <c r="Z34" s="56"/>
      <c r="AA34" s="56"/>
      <c r="AB34" s="56"/>
      <c r="AC34" s="56"/>
      <c r="AD34" s="56"/>
      <c r="AE34" s="56"/>
      <c r="AF34" s="56"/>
      <c r="AG34" s="56"/>
      <c r="AH34" s="56"/>
      <c r="AI34" s="56"/>
    </row>
    <row r="35" spans="1:35" s="52" customFormat="1" ht="18.75" customHeight="1" x14ac:dyDescent="0.25">
      <c r="A35" s="178"/>
      <c r="B35" s="179"/>
      <c r="C35" s="174"/>
      <c r="D35" s="174"/>
      <c r="E35" s="175"/>
      <c r="F35" s="175"/>
      <c r="G35" s="175"/>
      <c r="H35" s="175"/>
      <c r="I35" s="176"/>
      <c r="J35" s="176"/>
      <c r="K35" s="177"/>
      <c r="L35" s="71"/>
      <c r="M35" s="71"/>
      <c r="N35" s="64"/>
      <c r="O35" s="64"/>
      <c r="P35" s="64"/>
      <c r="Q35" s="64"/>
      <c r="R35" s="64"/>
      <c r="S35" s="64"/>
      <c r="T35" s="64"/>
      <c r="U35" s="64"/>
      <c r="V35" s="64"/>
      <c r="W35" s="64"/>
      <c r="X35" s="64"/>
      <c r="Y35" s="56"/>
      <c r="Z35" s="56"/>
      <c r="AA35" s="56"/>
      <c r="AB35" s="56"/>
      <c r="AC35" s="56"/>
      <c r="AD35" s="56"/>
      <c r="AE35" s="56"/>
      <c r="AF35" s="56"/>
      <c r="AG35" s="56"/>
      <c r="AH35" s="56"/>
      <c r="AI35" s="56"/>
    </row>
    <row r="36" spans="1:35" s="52" customFormat="1" ht="18.75" customHeight="1" x14ac:dyDescent="0.25">
      <c r="A36" s="178" t="s">
        <v>178</v>
      </c>
      <c r="B36" s="179"/>
      <c r="C36" s="178"/>
      <c r="D36" s="287" t="str">
        <f>IF(G34="","",(IF(K34&gt;=0.845,"Yes","No")))</f>
        <v>Yes</v>
      </c>
      <c r="E36" s="175"/>
      <c r="F36" s="175"/>
      <c r="G36" s="175"/>
      <c r="H36" s="175"/>
      <c r="I36" s="176"/>
      <c r="J36" s="176"/>
      <c r="K36" s="177"/>
      <c r="L36" s="71"/>
      <c r="M36" s="71"/>
      <c r="N36" s="64"/>
      <c r="O36" s="64"/>
      <c r="P36" s="64"/>
      <c r="Q36" s="64"/>
      <c r="R36" s="64"/>
      <c r="S36" s="64"/>
      <c r="T36" s="64"/>
      <c r="U36" s="64"/>
      <c r="V36" s="64"/>
      <c r="W36" s="64"/>
      <c r="X36" s="64"/>
      <c r="Y36" s="56"/>
      <c r="Z36" s="56"/>
      <c r="AA36" s="56"/>
      <c r="AB36" s="56"/>
      <c r="AC36" s="56"/>
      <c r="AD36" s="56"/>
      <c r="AE36" s="56"/>
      <c r="AF36" s="56"/>
      <c r="AG36" s="56"/>
      <c r="AH36" s="56"/>
      <c r="AI36" s="56"/>
    </row>
    <row r="37" spans="1:35" s="52" customFormat="1" ht="11.25" customHeight="1" x14ac:dyDescent="0.25">
      <c r="A37" s="180"/>
      <c r="B37" s="56"/>
      <c r="C37" s="56"/>
      <c r="D37" s="56"/>
      <c r="F37" s="56"/>
      <c r="G37" s="56"/>
      <c r="H37" s="56"/>
      <c r="I37" s="56"/>
      <c r="J37" s="56"/>
      <c r="K37" s="210"/>
      <c r="M37" s="61"/>
      <c r="N37" s="62"/>
      <c r="O37" s="62"/>
      <c r="P37" s="62"/>
      <c r="Q37" s="62"/>
      <c r="R37" s="62"/>
      <c r="S37" s="62"/>
      <c r="T37" s="62"/>
      <c r="U37" s="62"/>
      <c r="V37" s="62"/>
      <c r="W37" s="62"/>
      <c r="X37" s="62"/>
      <c r="Y37" s="56"/>
      <c r="Z37" s="56"/>
      <c r="AA37" s="56"/>
      <c r="AB37" s="56"/>
      <c r="AC37" s="56"/>
      <c r="AD37" s="56"/>
      <c r="AE37" s="56"/>
      <c r="AF37" s="56"/>
      <c r="AG37" s="56"/>
      <c r="AH37" s="56"/>
      <c r="AI37" s="56"/>
    </row>
    <row r="38" spans="1:35" s="52" customFormat="1" ht="18.75" customHeight="1" x14ac:dyDescent="0.25">
      <c r="A38" s="77" t="s">
        <v>273</v>
      </c>
      <c r="B38" s="59"/>
      <c r="C38" s="59"/>
      <c r="D38" s="59"/>
      <c r="E38" s="59"/>
      <c r="F38" s="59"/>
      <c r="G38" s="59"/>
      <c r="H38" s="59"/>
      <c r="I38" s="59"/>
      <c r="J38" s="59"/>
      <c r="K38" s="60"/>
      <c r="M38" s="61"/>
      <c r="N38" s="62"/>
      <c r="O38" s="62"/>
      <c r="P38" s="62"/>
      <c r="Q38" s="62"/>
      <c r="R38" s="62"/>
      <c r="S38" s="62"/>
      <c r="T38" s="62"/>
      <c r="U38" s="62"/>
      <c r="V38" s="62"/>
      <c r="W38" s="62"/>
      <c r="X38" s="62"/>
      <c r="Y38" s="56"/>
      <c r="Z38" s="56"/>
      <c r="AA38" s="56"/>
      <c r="AB38" s="56"/>
      <c r="AC38" s="56"/>
      <c r="AD38" s="56"/>
      <c r="AE38" s="56"/>
      <c r="AF38" s="56"/>
      <c r="AG38" s="56"/>
      <c r="AH38" s="56"/>
      <c r="AI38" s="56"/>
    </row>
    <row r="39" spans="1:35" s="52" customFormat="1" ht="11.25" customHeight="1" x14ac:dyDescent="0.25">
      <c r="A39" s="215"/>
      <c r="B39" s="216"/>
      <c r="C39" s="216"/>
      <c r="D39" s="216"/>
      <c r="E39" s="216"/>
      <c r="F39" s="216"/>
      <c r="G39" s="216"/>
      <c r="H39" s="216"/>
      <c r="I39" s="216"/>
      <c r="J39" s="216"/>
      <c r="K39" s="217"/>
      <c r="M39" s="61"/>
      <c r="N39" s="62"/>
      <c r="O39" s="62"/>
      <c r="P39" s="62"/>
      <c r="Q39" s="62"/>
      <c r="R39" s="62"/>
      <c r="S39" s="62"/>
      <c r="T39" s="62"/>
      <c r="U39" s="62"/>
      <c r="V39" s="62"/>
      <c r="W39" s="62"/>
      <c r="X39" s="62"/>
      <c r="Y39" s="56"/>
      <c r="Z39" s="56"/>
      <c r="AA39" s="56"/>
      <c r="AB39" s="56"/>
      <c r="AC39" s="56"/>
      <c r="AD39" s="56"/>
      <c r="AE39" s="56"/>
      <c r="AF39" s="56"/>
      <c r="AG39" s="56"/>
      <c r="AH39" s="56"/>
      <c r="AI39" s="56"/>
    </row>
    <row r="40" spans="1:35" s="52" customFormat="1" ht="13.8" thickBot="1" x14ac:dyDescent="0.3">
      <c r="A40" s="211" t="s">
        <v>59</v>
      </c>
      <c r="B40" s="212"/>
      <c r="C40" s="213"/>
      <c r="D40" s="213"/>
      <c r="E40" s="213"/>
      <c r="F40" s="213"/>
      <c r="G40" s="213"/>
      <c r="H40" s="213"/>
      <c r="I40" s="213"/>
      <c r="J40" s="213"/>
      <c r="K40" s="214"/>
      <c r="L40" s="61"/>
      <c r="M40" s="61"/>
      <c r="N40" s="57"/>
      <c r="O40" s="57"/>
      <c r="P40" s="57"/>
      <c r="Q40" s="57"/>
      <c r="R40" s="57"/>
      <c r="S40" s="57"/>
      <c r="T40" s="57"/>
      <c r="U40" s="57"/>
      <c r="V40" s="57"/>
      <c r="W40" s="57"/>
      <c r="X40" s="57"/>
      <c r="Y40" s="56"/>
      <c r="Z40" s="56"/>
      <c r="AA40" s="56"/>
      <c r="AB40" s="56"/>
      <c r="AC40" s="56"/>
      <c r="AD40" s="56"/>
      <c r="AE40" s="56"/>
      <c r="AF40" s="56"/>
      <c r="AG40" s="56"/>
      <c r="AH40" s="56"/>
      <c r="AI40" s="56"/>
    </row>
    <row r="41" spans="1:35" s="52" customFormat="1" ht="18.75" customHeight="1" thickBot="1" x14ac:dyDescent="0.3">
      <c r="A41" s="96" t="s">
        <v>129</v>
      </c>
      <c r="B41" s="82"/>
      <c r="C41" s="126">
        <v>40</v>
      </c>
      <c r="D41" s="126">
        <v>80</v>
      </c>
      <c r="E41" s="126">
        <v>200</v>
      </c>
      <c r="F41" s="126">
        <v>400</v>
      </c>
      <c r="G41" s="126">
        <v>600</v>
      </c>
      <c r="H41" s="126">
        <v>1000</v>
      </c>
      <c r="I41" s="126">
        <v>1400</v>
      </c>
      <c r="J41" s="126"/>
      <c r="K41" s="63">
        <v>1800</v>
      </c>
      <c r="L41" s="61"/>
      <c r="M41" s="61"/>
      <c r="N41" s="64"/>
      <c r="O41" s="64"/>
      <c r="P41" s="78"/>
      <c r="Q41" s="64"/>
      <c r="R41" s="64"/>
      <c r="S41" s="64"/>
      <c r="T41" s="64"/>
      <c r="U41" s="64"/>
      <c r="V41" s="64"/>
      <c r="W41" s="64"/>
      <c r="X41" s="64"/>
      <c r="Y41" s="56"/>
      <c r="Z41" s="56"/>
      <c r="AA41" s="56"/>
      <c r="AB41" s="56"/>
      <c r="AC41" s="56"/>
      <c r="AD41" s="56"/>
      <c r="AE41" s="56"/>
      <c r="AF41" s="56"/>
      <c r="AG41" s="56"/>
      <c r="AH41" s="56"/>
      <c r="AI41" s="56"/>
    </row>
    <row r="42" spans="1:35" s="52" customFormat="1" ht="18.75" customHeight="1" thickBot="1" x14ac:dyDescent="0.3">
      <c r="A42" s="96" t="s">
        <v>65</v>
      </c>
      <c r="B42" s="82"/>
      <c r="C42" s="288">
        <f>_xlfn.XLOOKUP(C33,Table1[Model],Table1[40])</f>
        <v>0.67700000000000005</v>
      </c>
      <c r="D42" s="288">
        <f>_xlfn.XLOOKUP(C33,Table1[Model],Table1[80])</f>
        <v>0.63300000000000001</v>
      </c>
      <c r="E42" s="288">
        <f>_xlfn.XLOOKUP(C33,Table1[Model],Table1[200])</f>
        <v>0.54899999999999993</v>
      </c>
      <c r="F42" s="288">
        <f>_xlfn.XLOOKUP(C33,Table1[Model],Table1[400])</f>
        <v>0.45399999999999996</v>
      </c>
      <c r="G42" s="288">
        <f>_xlfn.XLOOKUP(C33,Table1[Model],Table1[600])</f>
        <v>0.42100000000000004</v>
      </c>
      <c r="H42" s="288">
        <f>_xlfn.XLOOKUP(C33,Table1[Model],Table1[1000])</f>
        <v>0.35499999999999998</v>
      </c>
      <c r="I42" s="288">
        <f>_xlfn.XLOOKUP(C33,Table1[Model],Table1[1400])</f>
        <v>0.33600000000000002</v>
      </c>
      <c r="J42" s="288"/>
      <c r="K42" s="289">
        <f>_xlfn.XLOOKUP(C33,Table1[Model],Table1[optional])</f>
        <v>0</v>
      </c>
      <c r="L42" s="269"/>
      <c r="M42" s="71"/>
      <c r="N42" s="64"/>
      <c r="O42" s="64"/>
      <c r="P42" s="64"/>
      <c r="Q42" s="64"/>
      <c r="R42" s="64"/>
      <c r="S42" s="64"/>
      <c r="T42" s="64"/>
      <c r="U42" s="64"/>
      <c r="V42" s="64"/>
      <c r="W42" s="64"/>
      <c r="X42" s="64"/>
      <c r="Y42" s="56"/>
      <c r="Z42" s="56"/>
      <c r="AA42" s="56"/>
      <c r="AB42" s="56"/>
      <c r="AC42" s="56"/>
      <c r="AD42" s="56"/>
      <c r="AE42" s="56"/>
      <c r="AF42" s="56"/>
      <c r="AG42" s="56"/>
      <c r="AH42" s="56"/>
      <c r="AI42" s="56"/>
    </row>
    <row r="43" spans="1:35" s="52" customFormat="1" ht="11.25" customHeight="1" x14ac:dyDescent="0.25">
      <c r="A43" s="180"/>
      <c r="B43" s="56"/>
      <c r="C43" s="56"/>
      <c r="D43" s="56"/>
      <c r="E43" s="56"/>
      <c r="F43" s="56"/>
      <c r="G43" s="56"/>
      <c r="H43" s="56"/>
      <c r="I43" s="56"/>
      <c r="J43" s="56"/>
      <c r="K43" s="210"/>
      <c r="L43" s="270"/>
      <c r="M43" s="61"/>
      <c r="N43" s="62"/>
      <c r="O43" s="62"/>
      <c r="P43" s="62"/>
      <c r="Q43" s="62"/>
      <c r="R43" s="62"/>
      <c r="S43" s="62"/>
      <c r="T43" s="62"/>
      <c r="U43" s="62"/>
      <c r="V43" s="62"/>
      <c r="W43" s="62"/>
      <c r="X43" s="62"/>
      <c r="Y43" s="56"/>
      <c r="Z43" s="56"/>
      <c r="AA43" s="56"/>
      <c r="AB43" s="56"/>
      <c r="AC43" s="56"/>
      <c r="AD43" s="56"/>
      <c r="AE43" s="56"/>
      <c r="AF43" s="56"/>
      <c r="AG43" s="56"/>
      <c r="AH43" s="56"/>
      <c r="AI43" s="56"/>
    </row>
    <row r="44" spans="1:35" s="52" customFormat="1" ht="13.8" thickBot="1" x14ac:dyDescent="0.3">
      <c r="A44" s="211" t="s">
        <v>60</v>
      </c>
      <c r="B44" s="212"/>
      <c r="C44" s="213"/>
      <c r="D44" s="213"/>
      <c r="E44" s="213"/>
      <c r="F44" s="213"/>
      <c r="G44" s="213"/>
      <c r="H44" s="213"/>
      <c r="I44" s="213"/>
      <c r="J44" s="213"/>
      <c r="K44" s="214"/>
      <c r="L44" s="271"/>
      <c r="M44" s="61"/>
      <c r="N44" s="57"/>
      <c r="O44" s="57"/>
      <c r="P44" s="57"/>
      <c r="Q44" s="57"/>
      <c r="R44" s="57"/>
      <c r="S44" s="57"/>
      <c r="T44" s="57"/>
      <c r="U44" s="57"/>
      <c r="V44" s="57"/>
      <c r="W44" s="57"/>
      <c r="X44" s="57"/>
      <c r="Y44" s="56"/>
      <c r="Z44" s="56"/>
      <c r="AA44" s="56"/>
      <c r="AB44" s="56"/>
      <c r="AC44" s="56"/>
      <c r="AD44" s="56"/>
      <c r="AE44" s="56"/>
      <c r="AF44" s="56"/>
      <c r="AG44" s="56"/>
      <c r="AH44" s="56"/>
      <c r="AI44" s="56"/>
    </row>
    <row r="45" spans="1:35" s="52" customFormat="1" ht="18.75" customHeight="1" thickBot="1" x14ac:dyDescent="0.3">
      <c r="A45" s="96" t="s">
        <v>129</v>
      </c>
      <c r="B45" s="82"/>
      <c r="C45" s="126">
        <v>200</v>
      </c>
      <c r="D45" s="126">
        <v>800</v>
      </c>
      <c r="E45" s="126">
        <v>1400</v>
      </c>
      <c r="F45" s="126">
        <v>2000</v>
      </c>
      <c r="G45" s="126">
        <v>2600</v>
      </c>
      <c r="H45" s="126"/>
      <c r="I45" s="126"/>
      <c r="J45" s="126"/>
      <c r="K45" s="63"/>
      <c r="L45" s="271"/>
      <c r="M45" s="61"/>
      <c r="N45" s="64"/>
      <c r="O45" s="64"/>
      <c r="P45" s="64"/>
      <c r="Q45" s="64"/>
      <c r="R45" s="64"/>
      <c r="S45" s="64"/>
      <c r="T45" s="64"/>
      <c r="U45" s="64"/>
      <c r="V45" s="64"/>
      <c r="W45" s="64"/>
      <c r="X45" s="64"/>
      <c r="Y45" s="56"/>
      <c r="Z45" s="56"/>
      <c r="AA45" s="56"/>
      <c r="AB45" s="56"/>
      <c r="AC45" s="56"/>
      <c r="AD45" s="132"/>
      <c r="AE45" s="56"/>
      <c r="AF45" s="56"/>
      <c r="AG45" s="56"/>
      <c r="AH45" s="56"/>
      <c r="AI45" s="56"/>
    </row>
    <row r="46" spans="1:35" s="52" customFormat="1" ht="18.75" customHeight="1" thickBot="1" x14ac:dyDescent="0.3">
      <c r="A46" s="96" t="s">
        <v>67</v>
      </c>
      <c r="B46" s="82"/>
      <c r="C46" s="290">
        <f>_xlfn.XLOOKUP(C33,Table1[Model],Table1[2002])</f>
        <v>0.4</v>
      </c>
      <c r="D46" s="290">
        <f>_xlfn.XLOOKUP(C33,Table1[Model],Table1[800])</f>
        <v>3.4</v>
      </c>
      <c r="E46" s="290">
        <f>_xlfn.XLOOKUP(C33,Table1[Model],Table1[14002])</f>
        <v>2</v>
      </c>
      <c r="F46" s="290">
        <f>_xlfn.XLOOKUP(C33,Table1[Model],Table1[2000])</f>
        <v>0</v>
      </c>
      <c r="G46" s="290">
        <f>_xlfn.XLOOKUP(C33,Table1[Model],Table1[2600])</f>
        <v>0.4</v>
      </c>
      <c r="H46" s="126"/>
      <c r="I46" s="126"/>
      <c r="J46" s="126"/>
      <c r="K46" s="63"/>
      <c r="L46" s="269"/>
      <c r="M46" s="71"/>
      <c r="N46" s="64"/>
      <c r="O46" s="64"/>
      <c r="P46" s="64"/>
      <c r="Q46" s="64"/>
      <c r="R46" s="64"/>
      <c r="S46" s="64"/>
      <c r="T46" s="64"/>
      <c r="U46" s="64"/>
      <c r="V46" s="64"/>
      <c r="W46" s="64"/>
      <c r="X46" s="64"/>
      <c r="Y46" s="56"/>
      <c r="Z46" s="56"/>
      <c r="AA46" s="56"/>
      <c r="AB46" s="56"/>
      <c r="AC46" s="56"/>
      <c r="AD46" s="56"/>
      <c r="AE46" s="56"/>
      <c r="AF46" s="56"/>
      <c r="AG46" s="56"/>
      <c r="AH46" s="56"/>
      <c r="AI46" s="56"/>
    </row>
    <row r="47" spans="1:35" s="52" customFormat="1" ht="11.25" customHeight="1" x14ac:dyDescent="0.25">
      <c r="A47" s="180"/>
      <c r="B47" s="56"/>
      <c r="C47" s="56"/>
      <c r="D47" s="56"/>
      <c r="E47" s="56"/>
      <c r="F47" s="56"/>
      <c r="G47" s="56"/>
      <c r="H47" s="56"/>
      <c r="I47" s="56"/>
      <c r="J47" s="56"/>
      <c r="K47" s="210"/>
      <c r="L47" s="270"/>
      <c r="M47" s="61"/>
      <c r="N47" s="62"/>
      <c r="O47" s="62"/>
      <c r="P47" s="62"/>
      <c r="Q47" s="62"/>
      <c r="R47" s="62"/>
      <c r="S47" s="62"/>
      <c r="T47" s="62"/>
      <c r="U47" s="62"/>
      <c r="V47" s="62"/>
      <c r="W47" s="62"/>
      <c r="X47" s="62"/>
      <c r="Y47" s="56"/>
      <c r="Z47" s="56"/>
      <c r="AA47" s="56"/>
      <c r="AB47" s="56"/>
      <c r="AC47" s="56"/>
      <c r="AD47" s="56"/>
      <c r="AE47" s="56"/>
      <c r="AF47" s="56"/>
      <c r="AG47" s="56"/>
      <c r="AH47" s="56"/>
      <c r="AI47" s="56"/>
    </row>
    <row r="48" spans="1:35" s="67" customFormat="1" ht="24.6" customHeight="1" thickBot="1" x14ac:dyDescent="0.3">
      <c r="A48" s="51" t="s">
        <v>88</v>
      </c>
      <c r="B48" s="66"/>
      <c r="C48" s="339" t="str">
        <f>_xlfn.XLOOKUP(C33,'Rainfall &amp; Maintenance'!B66:B77,'Rainfall &amp; Maintenance'!P66:P77)</f>
        <v>No</v>
      </c>
      <c r="D48" s="343"/>
      <c r="E48" s="343"/>
      <c r="F48" s="69"/>
      <c r="G48" s="351" t="s">
        <v>128</v>
      </c>
      <c r="H48" s="351"/>
      <c r="I48" s="348">
        <f>_xlfn.XLOOKUP(C33,'Rainfall &amp; Maintenance'!B66:B77,'Rainfall &amp; Maintenance'!S66:S77)</f>
        <v>1077</v>
      </c>
      <c r="J48" s="349"/>
      <c r="K48" s="350"/>
      <c r="L48" s="269"/>
      <c r="M48" s="131"/>
      <c r="N48" s="64"/>
      <c r="O48" s="68"/>
      <c r="P48" s="68"/>
      <c r="Q48" s="68"/>
      <c r="R48" s="68"/>
      <c r="S48" s="68"/>
      <c r="T48" s="68"/>
      <c r="U48" s="68"/>
      <c r="V48" s="68"/>
      <c r="W48" s="68"/>
      <c r="X48" s="68"/>
      <c r="Y48" s="69"/>
      <c r="Z48" s="69"/>
      <c r="AA48" s="69"/>
      <c r="AB48" s="69"/>
      <c r="AC48" s="69"/>
      <c r="AD48" s="69"/>
      <c r="AE48" s="69"/>
      <c r="AF48" s="69"/>
      <c r="AG48" s="69"/>
      <c r="AH48" s="69"/>
      <c r="AI48" s="69"/>
    </row>
    <row r="49" spans="1:35" s="67" customFormat="1" ht="13.2" x14ac:dyDescent="0.25">
      <c r="A49" s="178"/>
      <c r="B49" s="132"/>
      <c r="C49" s="132"/>
      <c r="D49" s="132"/>
      <c r="E49" s="132"/>
      <c r="F49" s="69"/>
      <c r="G49" s="69"/>
      <c r="H49" s="69"/>
      <c r="I49" s="181"/>
      <c r="J49" s="181"/>
      <c r="K49" s="182"/>
      <c r="L49" s="129"/>
      <c r="M49" s="131"/>
      <c r="N49" s="64"/>
      <c r="O49" s="68"/>
      <c r="P49" s="68"/>
      <c r="Q49" s="68"/>
      <c r="R49" s="68"/>
      <c r="S49" s="68"/>
      <c r="T49" s="68"/>
      <c r="U49" s="68"/>
      <c r="V49" s="68"/>
      <c r="W49" s="68"/>
      <c r="X49" s="68"/>
      <c r="Y49" s="69"/>
      <c r="Z49" s="69"/>
      <c r="AA49" s="69"/>
      <c r="AB49" s="69"/>
      <c r="AC49" s="69"/>
      <c r="AD49" s="69"/>
      <c r="AE49" s="69"/>
      <c r="AF49" s="69"/>
      <c r="AG49" s="69"/>
      <c r="AH49" s="69"/>
      <c r="AI49" s="69"/>
    </row>
    <row r="50" spans="1:35" s="67" customFormat="1" ht="13.2" x14ac:dyDescent="0.25">
      <c r="A50" s="178"/>
      <c r="B50" s="132"/>
      <c r="C50" s="132"/>
      <c r="D50" s="132"/>
      <c r="E50" s="132"/>
      <c r="F50" s="69"/>
      <c r="G50" s="281"/>
      <c r="H50" s="281"/>
      <c r="I50" s="293"/>
      <c r="J50" s="293"/>
      <c r="K50" s="182"/>
      <c r="L50" s="129"/>
      <c r="M50" s="131"/>
      <c r="N50" s="64"/>
      <c r="O50" s="68"/>
      <c r="P50" s="68"/>
      <c r="Q50" s="68"/>
      <c r="R50" s="68"/>
      <c r="S50" s="68"/>
      <c r="T50" s="68"/>
      <c r="U50" s="68"/>
      <c r="V50" s="68"/>
      <c r="W50" s="68"/>
      <c r="X50" s="68"/>
      <c r="Y50" s="69"/>
      <c r="Z50" s="69"/>
      <c r="AA50" s="69"/>
      <c r="AB50" s="69"/>
      <c r="AC50" s="69"/>
      <c r="AD50" s="69"/>
      <c r="AE50" s="69"/>
      <c r="AF50" s="69"/>
      <c r="AG50" s="69"/>
      <c r="AH50" s="69"/>
      <c r="AI50" s="69"/>
    </row>
    <row r="51" spans="1:35" s="52" customFormat="1" ht="11.25" customHeight="1" x14ac:dyDescent="0.25">
      <c r="A51" s="180"/>
      <c r="B51" s="56"/>
      <c r="C51" s="218"/>
      <c r="D51" s="218"/>
      <c r="E51" s="219"/>
      <c r="F51" s="221"/>
      <c r="G51" s="56"/>
      <c r="H51" s="56"/>
      <c r="I51" s="56"/>
      <c r="J51" s="56"/>
      <c r="K51" s="58"/>
      <c r="M51" s="61"/>
      <c r="N51" s="64"/>
      <c r="O51" s="64"/>
      <c r="P51" s="64"/>
      <c r="Q51" s="56"/>
      <c r="R51" s="56"/>
      <c r="S51" s="56"/>
      <c r="T51" s="56"/>
      <c r="U51" s="64"/>
      <c r="V51" s="64"/>
      <c r="W51" s="64"/>
      <c r="X51" s="64"/>
      <c r="Y51" s="56"/>
      <c r="Z51" s="56"/>
      <c r="AA51" s="56"/>
      <c r="AB51" s="56"/>
      <c r="AC51" s="56"/>
      <c r="AD51" s="56"/>
      <c r="AE51" s="56"/>
      <c r="AF51" s="56"/>
      <c r="AG51" s="56"/>
      <c r="AH51" s="56"/>
      <c r="AI51" s="56"/>
    </row>
    <row r="52" spans="1:35" s="52" customFormat="1" ht="18.75" customHeight="1" x14ac:dyDescent="0.25">
      <c r="A52" s="77" t="s">
        <v>57</v>
      </c>
      <c r="B52" s="59"/>
      <c r="C52" s="59"/>
      <c r="D52" s="59"/>
      <c r="E52" s="59"/>
      <c r="F52" s="59"/>
      <c r="G52" s="59"/>
      <c r="H52" s="59"/>
      <c r="I52" s="59"/>
      <c r="J52" s="59"/>
      <c r="K52" s="60"/>
      <c r="M52" s="61"/>
      <c r="N52" s="62"/>
      <c r="O52" s="62"/>
      <c r="P52" s="62"/>
      <c r="Q52" s="62"/>
      <c r="R52" s="62"/>
      <c r="S52" s="62"/>
      <c r="T52" s="62"/>
      <c r="U52" s="62"/>
      <c r="V52" s="62"/>
      <c r="W52" s="62"/>
      <c r="X52" s="62"/>
      <c r="Y52" s="56"/>
      <c r="Z52" s="56"/>
      <c r="AA52" s="56"/>
      <c r="AB52" s="56"/>
      <c r="AC52" s="56"/>
      <c r="AD52" s="56"/>
      <c r="AE52" s="56"/>
      <c r="AF52" s="56"/>
      <c r="AG52" s="56"/>
      <c r="AH52" s="56"/>
      <c r="AI52" s="56"/>
    </row>
    <row r="53" spans="1:35" s="52" customFormat="1" ht="10.5" customHeight="1" x14ac:dyDescent="0.25">
      <c r="A53" s="178"/>
      <c r="B53" s="216"/>
      <c r="C53" s="216"/>
      <c r="D53" s="216"/>
      <c r="E53" s="216"/>
      <c r="F53" s="216"/>
      <c r="G53" s="216"/>
      <c r="H53" s="216"/>
      <c r="I53" s="216"/>
      <c r="J53" s="216"/>
      <c r="K53" s="217"/>
      <c r="M53" s="61"/>
      <c r="N53" s="62"/>
      <c r="O53" s="62"/>
      <c r="P53" s="62"/>
      <c r="Q53" s="62"/>
      <c r="R53" s="62"/>
      <c r="S53" s="62"/>
      <c r="T53" s="62"/>
      <c r="U53" s="62"/>
      <c r="V53" s="62"/>
      <c r="W53" s="62"/>
      <c r="X53" s="62"/>
      <c r="Y53" s="56"/>
      <c r="Z53" s="56"/>
      <c r="AA53" s="56"/>
      <c r="AB53" s="56"/>
      <c r="AC53" s="56"/>
      <c r="AD53" s="56"/>
      <c r="AE53" s="56"/>
      <c r="AF53" s="56"/>
      <c r="AG53" s="56"/>
      <c r="AH53" s="56"/>
      <c r="AI53" s="56"/>
    </row>
    <row r="54" spans="1:35" s="67" customFormat="1" ht="18.75" customHeight="1" thickBot="1" x14ac:dyDescent="0.3">
      <c r="A54" s="178" t="s">
        <v>70</v>
      </c>
      <c r="B54" s="132"/>
      <c r="C54" s="339" t="str">
        <f>_xlfn.XLOOKUP(C33,'Rainfall &amp; Maintenance'!B66:B77,'Rainfall &amp; Maintenance'!R66:R77)</f>
        <v>Full</v>
      </c>
      <c r="D54" s="340"/>
      <c r="E54" s="340"/>
      <c r="F54" s="335" t="s">
        <v>29</v>
      </c>
      <c r="G54" s="335"/>
      <c r="H54" s="329" t="s">
        <v>272</v>
      </c>
      <c r="I54" s="329"/>
      <c r="J54" s="329"/>
      <c r="K54" s="330"/>
      <c r="L54" s="282"/>
      <c r="M54" s="131"/>
      <c r="N54" s="54"/>
      <c r="O54" s="54"/>
      <c r="P54" s="54"/>
      <c r="Q54" s="54"/>
      <c r="R54" s="54"/>
      <c r="S54" s="54"/>
      <c r="T54" s="54"/>
      <c r="U54" s="54"/>
      <c r="V54" s="54"/>
      <c r="W54" s="54"/>
      <c r="X54" s="54"/>
      <c r="Y54" s="69"/>
      <c r="Z54" s="69"/>
      <c r="AA54" s="69"/>
      <c r="AB54" s="69"/>
      <c r="AC54" s="69"/>
      <c r="AD54" s="69"/>
      <c r="AE54" s="69"/>
      <c r="AF54" s="69"/>
      <c r="AG54" s="69"/>
      <c r="AH54" s="69"/>
      <c r="AI54" s="69"/>
    </row>
    <row r="55" spans="1:35" s="67" customFormat="1" ht="18.75" customHeight="1" thickBot="1" x14ac:dyDescent="0.3">
      <c r="A55" s="178" t="s">
        <v>99</v>
      </c>
      <c r="B55" s="132"/>
      <c r="C55" s="329" t="s">
        <v>98</v>
      </c>
      <c r="D55" s="329"/>
      <c r="E55" s="329"/>
      <c r="F55" s="335" t="s">
        <v>84</v>
      </c>
      <c r="G55" s="335"/>
      <c r="H55" s="329"/>
      <c r="I55" s="329"/>
      <c r="J55" s="329"/>
      <c r="K55" s="330"/>
      <c r="L55" s="129"/>
      <c r="M55" s="131"/>
      <c r="N55" s="54"/>
      <c r="O55" s="54"/>
      <c r="P55" s="54"/>
      <c r="Q55" s="54"/>
      <c r="R55" s="54"/>
      <c r="S55" s="54"/>
      <c r="T55" s="54"/>
      <c r="U55" s="54"/>
      <c r="V55" s="54"/>
      <c r="W55" s="54"/>
      <c r="X55" s="54"/>
      <c r="Y55" s="69"/>
      <c r="Z55" s="69"/>
      <c r="AA55" s="69"/>
      <c r="AB55" s="69"/>
      <c r="AC55" s="69"/>
      <c r="AD55" s="69"/>
      <c r="AE55" s="69"/>
      <c r="AF55" s="69"/>
      <c r="AG55" s="69"/>
      <c r="AH55" s="69"/>
      <c r="AI55" s="69"/>
    </row>
    <row r="56" spans="1:35" s="52" customFormat="1" ht="10.199999999999999" customHeight="1" x14ac:dyDescent="0.25">
      <c r="A56" s="178"/>
      <c r="B56" s="56"/>
      <c r="C56" s="218"/>
      <c r="D56" s="218"/>
      <c r="E56" s="219"/>
      <c r="F56" s="56"/>
      <c r="G56" s="220"/>
      <c r="H56" s="56"/>
      <c r="I56" s="56"/>
      <c r="J56" s="56"/>
      <c r="K56" s="210"/>
      <c r="M56" s="61"/>
      <c r="N56" s="62"/>
      <c r="O56" s="62"/>
      <c r="P56" s="62"/>
      <c r="Q56" s="62"/>
      <c r="R56" s="62"/>
      <c r="S56" s="62"/>
      <c r="T56" s="62"/>
      <c r="U56" s="62"/>
      <c r="V56" s="62"/>
      <c r="W56" s="62"/>
      <c r="X56" s="62"/>
      <c r="Y56" s="56"/>
      <c r="Z56" s="56"/>
      <c r="AA56" s="56"/>
      <c r="AB56" s="56"/>
      <c r="AC56" s="56"/>
      <c r="AD56" s="56"/>
      <c r="AE56" s="56"/>
      <c r="AF56" s="56"/>
      <c r="AG56" s="56"/>
      <c r="AH56" s="56"/>
      <c r="AI56" s="56"/>
    </row>
    <row r="57" spans="1:35" s="67" customFormat="1" ht="18.75" customHeight="1" thickBot="1" x14ac:dyDescent="0.3">
      <c r="A57" s="178" t="s">
        <v>181</v>
      </c>
      <c r="B57" s="132"/>
      <c r="C57" s="336">
        <f>SF*C61*EMC*AnnualPrecip*(Area*10000)*1000/10^6/WetDensity</f>
        <v>0.65058068161489058</v>
      </c>
      <c r="D57" s="336"/>
      <c r="E57" s="336"/>
      <c r="F57" s="335" t="s">
        <v>113</v>
      </c>
      <c r="G57" s="335"/>
      <c r="H57" s="337">
        <f>+F34*H34</f>
        <v>8.7863228799999984</v>
      </c>
      <c r="I57" s="337"/>
      <c r="J57" s="337"/>
      <c r="K57" s="338"/>
      <c r="L57" s="129"/>
      <c r="M57" s="131"/>
      <c r="N57" s="54"/>
      <c r="O57" s="54"/>
      <c r="P57" s="54"/>
      <c r="Q57" s="54"/>
      <c r="R57" s="54"/>
      <c r="S57" s="54"/>
      <c r="T57" s="54"/>
      <c r="U57" s="54"/>
      <c r="V57" s="54"/>
      <c r="W57" s="54"/>
      <c r="X57" s="54"/>
      <c r="Y57" s="69"/>
      <c r="Z57" s="69"/>
      <c r="AA57" s="69"/>
      <c r="AB57" s="69"/>
      <c r="AC57" s="69"/>
      <c r="AD57" s="69"/>
      <c r="AE57" s="69"/>
      <c r="AF57" s="69"/>
      <c r="AG57" s="69"/>
      <c r="AH57" s="70"/>
      <c r="AI57" s="69"/>
    </row>
    <row r="58" spans="1:35" s="52" customFormat="1" ht="11.25" customHeight="1" thickBot="1" x14ac:dyDescent="0.3">
      <c r="A58" s="178"/>
      <c r="B58" s="56"/>
      <c r="C58" s="218"/>
      <c r="D58" s="218"/>
      <c r="E58" s="219"/>
      <c r="F58" s="221"/>
      <c r="G58" s="56"/>
      <c r="H58" s="56"/>
      <c r="I58" s="56"/>
      <c r="J58" s="56"/>
      <c r="K58" s="210"/>
      <c r="M58" s="61"/>
      <c r="N58" s="62"/>
      <c r="O58" s="62"/>
      <c r="P58" s="62"/>
      <c r="Q58" s="62"/>
      <c r="R58" s="62"/>
      <c r="S58" s="62"/>
      <c r="T58" s="62"/>
      <c r="U58" s="62"/>
      <c r="V58" s="62"/>
      <c r="W58" s="62"/>
      <c r="X58" s="62"/>
      <c r="Y58" s="56"/>
      <c r="Z58" s="56"/>
      <c r="AA58" s="56"/>
      <c r="AB58" s="56"/>
      <c r="AC58" s="56"/>
      <c r="AD58" s="56"/>
      <c r="AE58" s="56"/>
      <c r="AF58" s="56"/>
      <c r="AG58" s="56"/>
      <c r="AH58" s="56"/>
      <c r="AI58" s="56"/>
    </row>
    <row r="59" spans="1:35" s="52" customFormat="1" ht="18.75" customHeight="1" x14ac:dyDescent="0.25">
      <c r="A59" s="83" t="s">
        <v>107</v>
      </c>
      <c r="B59" s="72"/>
      <c r="C59" s="72"/>
      <c r="D59" s="72"/>
      <c r="E59" s="72"/>
      <c r="F59" s="72"/>
      <c r="G59" s="72"/>
      <c r="H59" s="72"/>
      <c r="I59" s="72"/>
      <c r="J59" s="72"/>
      <c r="K59" s="73"/>
      <c r="M59" s="61"/>
      <c r="N59" s="62"/>
      <c r="O59" s="62"/>
      <c r="P59" s="62"/>
      <c r="Q59" s="62"/>
      <c r="R59" s="62"/>
      <c r="S59" s="62"/>
      <c r="T59" s="62"/>
      <c r="U59" s="62"/>
      <c r="V59" s="62"/>
      <c r="W59" s="62"/>
      <c r="X59" s="62"/>
      <c r="Y59" s="56"/>
      <c r="Z59" s="56"/>
      <c r="AA59" s="56"/>
      <c r="AB59" s="56"/>
      <c r="AC59" s="56"/>
      <c r="AD59" s="56"/>
      <c r="AE59" s="56"/>
      <c r="AF59" s="56"/>
      <c r="AG59" s="56"/>
      <c r="AH59" s="56"/>
      <c r="AI59" s="56"/>
    </row>
    <row r="60" spans="1:35" s="52" customFormat="1" ht="9.75" customHeight="1" x14ac:dyDescent="0.25">
      <c r="A60" s="222"/>
      <c r="B60" s="223"/>
      <c r="C60" s="224"/>
      <c r="D60" s="225"/>
      <c r="E60" s="226"/>
      <c r="F60" s="221"/>
      <c r="G60" s="225"/>
      <c r="H60" s="225"/>
      <c r="I60" s="225"/>
      <c r="J60" s="225"/>
      <c r="K60" s="227"/>
      <c r="M60" s="61"/>
      <c r="N60" s="64"/>
      <c r="O60" s="64"/>
      <c r="P60" s="64"/>
      <c r="Q60" s="64"/>
      <c r="R60" s="64"/>
      <c r="S60" s="64"/>
      <c r="T60" s="64"/>
      <c r="U60" s="64"/>
      <c r="V60" s="64"/>
      <c r="W60" s="64"/>
      <c r="X60" s="64"/>
      <c r="Y60" s="56"/>
      <c r="Z60" s="56"/>
      <c r="AA60" s="56"/>
      <c r="AB60" s="56"/>
      <c r="AC60" s="56"/>
      <c r="AD60" s="56"/>
      <c r="AE60" s="56"/>
      <c r="AF60" s="69"/>
      <c r="AG60" s="56"/>
      <c r="AH60" s="56"/>
      <c r="AI60" s="56"/>
    </row>
    <row r="61" spans="1:35" s="52" customFormat="1" ht="26.4" customHeight="1" thickBot="1" x14ac:dyDescent="0.3">
      <c r="A61" s="215" t="s">
        <v>106</v>
      </c>
      <c r="B61" s="223"/>
      <c r="C61" s="334">
        <f>K85</f>
        <v>0.62477079071785702</v>
      </c>
      <c r="D61" s="334"/>
      <c r="E61" s="334"/>
      <c r="G61" s="342" t="s">
        <v>256</v>
      </c>
      <c r="H61" s="342"/>
      <c r="I61" s="307">
        <f>IF((COUNTIFS($F$66:$F$85,"&gt;"&amp;$I$48)-1)*5/100&lt;0,0,(COUNTIFS($F$66:$F$85,"&gt;"&amp;$I$48)-1)*5/100)</f>
        <v>0</v>
      </c>
      <c r="J61" s="307" t="s">
        <v>260</v>
      </c>
      <c r="K61" s="308">
        <f>COUNTIFS($F$66:$F$85,"&gt;"&amp;$I$48)*5/100</f>
        <v>0</v>
      </c>
      <c r="L61" s="53"/>
      <c r="M61" s="71"/>
      <c r="N61" s="64"/>
      <c r="O61" s="64"/>
      <c r="P61" s="64"/>
      <c r="Q61" s="64"/>
      <c r="R61" s="64"/>
      <c r="S61" s="64"/>
      <c r="T61" s="64"/>
      <c r="U61" s="64"/>
      <c r="V61" s="64"/>
      <c r="W61" s="64"/>
      <c r="X61" s="64"/>
      <c r="Y61" s="56"/>
      <c r="Z61" s="56"/>
      <c r="AA61" s="56"/>
      <c r="AB61" s="56"/>
      <c r="AC61" s="56"/>
      <c r="AD61" s="56"/>
      <c r="AE61" s="56"/>
      <c r="AF61" s="69"/>
      <c r="AG61" s="56"/>
      <c r="AH61" s="56"/>
      <c r="AI61" s="56"/>
    </row>
    <row r="62" spans="1:35" s="52" customFormat="1" ht="11.25" customHeight="1" thickBot="1" x14ac:dyDescent="0.3">
      <c r="A62" s="211"/>
      <c r="B62" s="228"/>
      <c r="C62" s="229"/>
      <c r="D62" s="229"/>
      <c r="E62" s="230"/>
      <c r="F62" s="231"/>
      <c r="G62" s="228"/>
      <c r="H62" s="228"/>
      <c r="I62" s="228"/>
      <c r="J62" s="228"/>
      <c r="K62" s="232"/>
      <c r="M62" s="61"/>
      <c r="N62" s="62"/>
      <c r="O62" s="62"/>
      <c r="P62" s="62"/>
      <c r="Q62" s="62"/>
      <c r="R62" s="62"/>
      <c r="S62" s="62"/>
      <c r="T62" s="62"/>
      <c r="U62" s="62"/>
      <c r="V62" s="62"/>
      <c r="W62" s="62"/>
      <c r="X62" s="62"/>
      <c r="Y62" s="56"/>
      <c r="Z62" s="56"/>
      <c r="AA62" s="56"/>
      <c r="AB62" s="56"/>
      <c r="AC62" s="56"/>
      <c r="AD62" s="56"/>
      <c r="AE62" s="56"/>
      <c r="AF62" s="56"/>
      <c r="AG62" s="56"/>
      <c r="AH62" s="56"/>
      <c r="AI62" s="56"/>
    </row>
    <row r="63" spans="1:35" s="52" customFormat="1" ht="11.25" customHeight="1" x14ac:dyDescent="0.25">
      <c r="A63" s="104" t="s">
        <v>38</v>
      </c>
      <c r="B63" s="100" t="s">
        <v>39</v>
      </c>
      <c r="C63" s="100" t="s">
        <v>40</v>
      </c>
      <c r="D63" s="100" t="s">
        <v>41</v>
      </c>
      <c r="E63" s="100" t="s">
        <v>42</v>
      </c>
      <c r="F63" s="100" t="s">
        <v>43</v>
      </c>
      <c r="G63" s="100" t="s">
        <v>44</v>
      </c>
      <c r="H63" s="100" t="s">
        <v>45</v>
      </c>
      <c r="I63" s="100" t="s">
        <v>46</v>
      </c>
      <c r="J63" s="100"/>
      <c r="K63" s="105" t="s">
        <v>53</v>
      </c>
      <c r="M63" s="61"/>
      <c r="N63" s="62"/>
      <c r="O63" s="62"/>
      <c r="P63" s="62"/>
      <c r="Q63" s="62"/>
      <c r="R63" s="62"/>
      <c r="S63" s="62"/>
      <c r="T63" s="62"/>
      <c r="U63" s="62"/>
      <c r="V63" s="62"/>
      <c r="W63" s="62"/>
      <c r="X63" s="62"/>
      <c r="Z63" s="56"/>
      <c r="AA63" s="56"/>
      <c r="AB63" s="56"/>
      <c r="AC63" s="56"/>
      <c r="AD63" s="56"/>
      <c r="AE63" s="56"/>
      <c r="AF63" s="56"/>
      <c r="AG63" s="56"/>
      <c r="AH63" s="56"/>
      <c r="AI63" s="56"/>
    </row>
    <row r="64" spans="1:35" ht="92.4" hidden="1" x14ac:dyDescent="0.25">
      <c r="A64" s="84" t="s">
        <v>10</v>
      </c>
      <c r="B64" s="85" t="s">
        <v>9</v>
      </c>
      <c r="C64" s="85" t="s">
        <v>8</v>
      </c>
      <c r="D64" s="86" t="s">
        <v>11</v>
      </c>
      <c r="E64" s="86" t="s">
        <v>12</v>
      </c>
      <c r="F64" s="86" t="s">
        <v>13</v>
      </c>
      <c r="G64" s="86" t="s">
        <v>14</v>
      </c>
      <c r="H64" s="86" t="s">
        <v>64</v>
      </c>
      <c r="I64" s="86" t="s">
        <v>15</v>
      </c>
      <c r="J64" s="86" t="s">
        <v>259</v>
      </c>
      <c r="K64" s="87" t="s">
        <v>16</v>
      </c>
      <c r="L64" s="48" t="s">
        <v>6</v>
      </c>
      <c r="M64" s="48"/>
      <c r="N64" s="49"/>
      <c r="O64" s="49"/>
      <c r="P64" s="49"/>
      <c r="Q64" s="49"/>
      <c r="R64" s="49"/>
      <c r="S64" s="49"/>
      <c r="T64" s="49"/>
      <c r="U64" s="49"/>
      <c r="V64" s="49"/>
      <c r="W64" s="49"/>
      <c r="X64" s="49"/>
      <c r="AB64" s="50"/>
      <c r="AC64" s="50"/>
    </row>
    <row r="65" spans="1:29" ht="53.4" thickBot="1" x14ac:dyDescent="0.3">
      <c r="A65" s="88" t="s">
        <v>177</v>
      </c>
      <c r="B65" s="89" t="s">
        <v>139</v>
      </c>
      <c r="C65" s="89" t="s">
        <v>90</v>
      </c>
      <c r="D65" s="90" t="s">
        <v>75</v>
      </c>
      <c r="E65" s="90" t="s">
        <v>92</v>
      </c>
      <c r="F65" s="90" t="s">
        <v>112</v>
      </c>
      <c r="G65" s="91" t="s">
        <v>68</v>
      </c>
      <c r="H65" s="92" t="s">
        <v>69</v>
      </c>
      <c r="I65" s="90" t="s">
        <v>85</v>
      </c>
      <c r="J65" s="90"/>
      <c r="K65" s="93" t="s">
        <v>86</v>
      </c>
      <c r="L65" s="48" t="e">
        <f>MATCH(F66,'Test Unit Summary'!$B$6:$B$13,1)</f>
        <v>#N/A</v>
      </c>
      <c r="M65" s="48"/>
      <c r="N65" s="49"/>
      <c r="O65" s="49"/>
      <c r="P65" s="49"/>
      <c r="Q65" s="49"/>
      <c r="R65" s="49"/>
      <c r="S65" s="49"/>
      <c r="T65" s="49"/>
      <c r="U65" s="49"/>
      <c r="V65" s="49"/>
      <c r="W65" s="49"/>
      <c r="X65" s="49"/>
      <c r="AB65" s="50"/>
      <c r="AC65" s="50"/>
    </row>
    <row r="66" spans="1:29" ht="13.2" x14ac:dyDescent="0.25">
      <c r="A66" s="143">
        <f>'Rainfall &amp; Maintenance'!A15</f>
        <v>0.05</v>
      </c>
      <c r="B66" s="109">
        <f>'Rainfall &amp; Maintenance'!B15</f>
        <v>0.05</v>
      </c>
      <c r="C66" s="141">
        <f>'Rainfall &amp; Maintenance'!C15</f>
        <v>1.3</v>
      </c>
      <c r="D66" s="141">
        <f>$C$21*$C$22*C66*2.78</f>
        <v>1.4094599999999999</v>
      </c>
      <c r="E66" s="148">
        <f>IF($H$54="In-Line",IF($C$55="No",D66,IF(D66&lt;$H$55,D66,$H$55)), IF(D66&lt;$H$55,D66,$H$55))</f>
        <v>1.4094599999999999</v>
      </c>
      <c r="F66" s="145">
        <f>E66*60/$F$34</f>
        <v>18.094837871471441</v>
      </c>
      <c r="G66" s="279">
        <f>IF(F66&lt;$C$41,$C$42,IF(F66&gt;=$K$41,($K$41*$K$42+(F66-$K$41)*0)/F66,TREND(INDEX('Test Unit Summary'!$B$6:$C$13,L65,2):INDEX('Test Unit Summary'!$B$6:$C$13,L65+1,2),INDEX('Test Unit Summary'!$B$6:$C$13,L65,1):INDEX('Test Unit Summary'!$B$6:$C$13,L65+1,1),F66)))</f>
        <v>0.67700000000000005</v>
      </c>
      <c r="H66" s="146" t="str">
        <f>IF($H$54="Off-Line",IF($C$55="No",IF(E66&gt;=D66,G66,E66/D66*G66),"N/A"),"N/A")</f>
        <v>N/A</v>
      </c>
      <c r="I66" s="146">
        <f>IF(D66=0,0,IF(H66="N/A",B66*G66,B66*H66))</f>
        <v>3.3850000000000005E-2</v>
      </c>
      <c r="J66" s="146"/>
      <c r="K66" s="147">
        <f>Table2[[#This Row],[Column8]]</f>
        <v>3.3850000000000005E-2</v>
      </c>
      <c r="L66" s="48" t="e">
        <f>MATCH(F67,'Test Unit Summary'!$B$6:$B$13,1)</f>
        <v>#N/A</v>
      </c>
      <c r="M66" s="48"/>
      <c r="N66" s="49"/>
      <c r="O66" s="49"/>
      <c r="P66" s="49"/>
      <c r="Q66" s="49"/>
      <c r="R66" s="49"/>
      <c r="S66" s="49"/>
      <c r="T66" s="49"/>
      <c r="U66" s="49"/>
      <c r="V66" s="49"/>
      <c r="W66" s="49"/>
      <c r="X66" s="49"/>
      <c r="AB66" s="50"/>
      <c r="AC66" s="50"/>
    </row>
    <row r="67" spans="1:29" ht="13.2" x14ac:dyDescent="0.25">
      <c r="A67" s="272">
        <f>'Rainfall &amp; Maintenance'!A16</f>
        <v>0.1</v>
      </c>
      <c r="B67" s="273">
        <f>'Rainfall &amp; Maintenance'!B16</f>
        <v>0.05</v>
      </c>
      <c r="C67" s="274">
        <f>'Rainfall &amp; Maintenance'!C16</f>
        <v>1.5</v>
      </c>
      <c r="D67" s="274">
        <f>$C$21*$C$22*C67*2.78</f>
        <v>1.6262999999999999</v>
      </c>
      <c r="E67" s="274">
        <f t="shared" ref="E67:E85" si="0">IF($H$54="In-Line",IF($C$55="No",D67,IF(D67&lt;$H$55,D67,$H$55)), IF(D67&lt;$H$55,D67,$H$55))</f>
        <v>1.6262999999999999</v>
      </c>
      <c r="F67" s="275">
        <f t="shared" ref="F67:F85" si="1">E67*60/$F$34</f>
        <v>20.878659082467042</v>
      </c>
      <c r="G67" s="280">
        <f>IF(F67&lt;$C$41,$C$42,IF(F67&gt;=$K$41,($K$41*$K$42+(F67-$K$41)*0)/F67,TREND(INDEX('Test Unit Summary'!$B$6:$C$13,L66,2):INDEX('Test Unit Summary'!$B$6:$C$13,L66+1,2),INDEX('Test Unit Summary'!$B$6:$C$13,L66,1):INDEX('Test Unit Summary'!$B$6:$C$13,L66+1,1),F67)))</f>
        <v>0.67700000000000005</v>
      </c>
      <c r="H67" s="276" t="str">
        <f t="shared" ref="H67:H85" si="2">IF($H$54="Off-Line",IF($C$55="No",IF(E67&gt;=D67,G67,E67/D67*G67),"N/A"),"N/A")</f>
        <v>N/A</v>
      </c>
      <c r="I67" s="276">
        <f t="shared" ref="I67:I85" si="3">IF(D67=0,0,IF(H67="N/A",B67*G67,B67*H67))</f>
        <v>3.3850000000000005E-2</v>
      </c>
      <c r="J67" s="276"/>
      <c r="K67" s="277">
        <f>Table2[[#This Row],[Column8]]+K66</f>
        <v>6.770000000000001E-2</v>
      </c>
      <c r="L67" s="48" t="e">
        <f>MATCH(F68,'Test Unit Summary'!$B$6:$B$13,1)</f>
        <v>#N/A</v>
      </c>
      <c r="M67" s="48"/>
      <c r="N67" s="49"/>
      <c r="O67" s="49"/>
      <c r="P67" s="49"/>
      <c r="Q67" s="49"/>
      <c r="R67" s="49"/>
      <c r="S67" s="49"/>
      <c r="T67" s="49"/>
      <c r="U67" s="49"/>
      <c r="V67" s="49"/>
      <c r="W67" s="49"/>
      <c r="X67" s="49"/>
      <c r="AB67" s="50"/>
      <c r="AC67" s="50"/>
    </row>
    <row r="68" spans="1:29" ht="13.2" x14ac:dyDescent="0.25">
      <c r="A68" s="143">
        <f>'Rainfall &amp; Maintenance'!A17</f>
        <v>0.15000000000000002</v>
      </c>
      <c r="B68" s="109">
        <f>'Rainfall &amp; Maintenance'!B17</f>
        <v>0.05</v>
      </c>
      <c r="C68" s="141">
        <f>'Rainfall &amp; Maintenance'!C17</f>
        <v>1.7</v>
      </c>
      <c r="D68" s="141">
        <f t="shared" ref="D68:D84" si="4">$C$21*$C$22*C68*2.78</f>
        <v>1.84314</v>
      </c>
      <c r="E68" s="141">
        <f t="shared" si="0"/>
        <v>1.84314</v>
      </c>
      <c r="F68" s="145">
        <f t="shared" si="1"/>
        <v>23.662480293462654</v>
      </c>
      <c r="G68" s="279">
        <f>IF(F68&lt;$C$41,$C$42,IF(F68&gt;=$K$41,($K$41*$K$42+(F68-$K$41)*0)/F68,TREND(INDEX('Test Unit Summary'!$B$6:$C$13,L67,2):INDEX('Test Unit Summary'!$B$6:$C$13,L67+1,2),INDEX('Test Unit Summary'!$B$6:$C$13,L67,1):INDEX('Test Unit Summary'!$B$6:$C$13,L67+1,1),F68)))</f>
        <v>0.67700000000000005</v>
      </c>
      <c r="H68" s="146" t="str">
        <f t="shared" si="2"/>
        <v>N/A</v>
      </c>
      <c r="I68" s="146">
        <f t="shared" si="3"/>
        <v>3.3850000000000005E-2</v>
      </c>
      <c r="J68" s="146"/>
      <c r="K68" s="103">
        <f>Table2[[#This Row],[Column8]]+K67</f>
        <v>0.10155000000000002</v>
      </c>
      <c r="L68" s="48" t="e">
        <f>MATCH(F69,'Test Unit Summary'!$B$6:$B$13,1)</f>
        <v>#N/A</v>
      </c>
      <c r="M68" s="48"/>
      <c r="N68" s="49"/>
      <c r="O68" s="49"/>
      <c r="P68" s="49"/>
      <c r="Q68" s="49"/>
      <c r="R68" s="49"/>
      <c r="S68" s="49"/>
      <c r="T68" s="49"/>
      <c r="U68" s="49"/>
      <c r="V68" s="49"/>
      <c r="W68" s="49"/>
      <c r="X68" s="49"/>
      <c r="AB68" s="50"/>
      <c r="AC68" s="50"/>
    </row>
    <row r="69" spans="1:29" ht="13.2" x14ac:dyDescent="0.25">
      <c r="A69" s="278">
        <f>'Rainfall &amp; Maintenance'!A18</f>
        <v>0.2</v>
      </c>
      <c r="B69" s="273">
        <f>'Rainfall &amp; Maintenance'!B18</f>
        <v>0.05</v>
      </c>
      <c r="C69" s="274">
        <f>'Rainfall &amp; Maintenance'!C18</f>
        <v>2</v>
      </c>
      <c r="D69" s="274">
        <f t="shared" si="4"/>
        <v>2.1684000000000001</v>
      </c>
      <c r="E69" s="274">
        <f t="shared" si="0"/>
        <v>2.1684000000000001</v>
      </c>
      <c r="F69" s="275">
        <f t="shared" si="1"/>
        <v>27.838212109956064</v>
      </c>
      <c r="G69" s="280">
        <f>IF(F69&lt;$C$41,$C$42,IF(F69&gt;=$K$41,($K$41*$K$42+(F69-$K$41)*0)/F69,TREND(INDEX('Test Unit Summary'!$B$6:$C$13,L68,2):INDEX('Test Unit Summary'!$B$6:$C$13,L68+1,2),INDEX('Test Unit Summary'!$B$6:$C$13,L68,1):INDEX('Test Unit Summary'!$B$6:$C$13,L68+1,1),F69)))</f>
        <v>0.67700000000000005</v>
      </c>
      <c r="H69" s="276" t="str">
        <f t="shared" si="2"/>
        <v>N/A</v>
      </c>
      <c r="I69" s="276">
        <f t="shared" si="3"/>
        <v>3.3850000000000005E-2</v>
      </c>
      <c r="J69" s="276"/>
      <c r="K69" s="277">
        <f>Table2[[#This Row],[Column8]]+K68</f>
        <v>0.13540000000000002</v>
      </c>
      <c r="L69" s="48" t="e">
        <f>MATCH(F70,'Test Unit Summary'!$B$6:$B$13,1)</f>
        <v>#N/A</v>
      </c>
      <c r="M69" s="48"/>
      <c r="N69" s="49"/>
      <c r="O69" s="49"/>
      <c r="P69" s="49"/>
      <c r="Q69" s="49"/>
      <c r="R69" s="49"/>
      <c r="S69" s="49"/>
      <c r="T69" s="49"/>
      <c r="U69" s="49"/>
      <c r="V69" s="49"/>
      <c r="W69" s="49"/>
      <c r="X69" s="49"/>
      <c r="AB69" s="50"/>
      <c r="AC69" s="50"/>
    </row>
    <row r="70" spans="1:29" ht="13.2" x14ac:dyDescent="0.25">
      <c r="A70" s="143">
        <f>'Rainfall &amp; Maintenance'!A19</f>
        <v>0.25</v>
      </c>
      <c r="B70" s="109">
        <f>'Rainfall &amp; Maintenance'!B19</f>
        <v>0.05</v>
      </c>
      <c r="C70" s="141">
        <f>'Rainfall &amp; Maintenance'!C19</f>
        <v>2.2999999999999998</v>
      </c>
      <c r="D70" s="141">
        <f t="shared" si="4"/>
        <v>2.4936599999999998</v>
      </c>
      <c r="E70" s="141">
        <f t="shared" si="0"/>
        <v>2.4936599999999998</v>
      </c>
      <c r="F70" s="145">
        <f t="shared" si="1"/>
        <v>32.013943926449471</v>
      </c>
      <c r="G70" s="279">
        <f>IF(F70&lt;$C$41,$C$42,IF(F70&gt;=$K$41,($K$41*$K$42+(F70-$K$41)*0)/F70,TREND(INDEX('Test Unit Summary'!$B$6:$C$13,L69,2):INDEX('Test Unit Summary'!$B$6:$C$13,L69+1,2),INDEX('Test Unit Summary'!$B$6:$C$13,L69,1):INDEX('Test Unit Summary'!$B$6:$C$13,L69+1,1),F70)))</f>
        <v>0.67700000000000005</v>
      </c>
      <c r="H70" s="146" t="str">
        <f t="shared" si="2"/>
        <v>N/A</v>
      </c>
      <c r="I70" s="146">
        <f t="shared" si="3"/>
        <v>3.3850000000000005E-2</v>
      </c>
      <c r="J70" s="146"/>
      <c r="K70" s="103">
        <f>Table2[[#This Row],[Column8]]+K69</f>
        <v>0.16925000000000001</v>
      </c>
      <c r="L70" s="48" t="e">
        <f>MATCH(F71,'Test Unit Summary'!$B$6:$B$13,1)</f>
        <v>#N/A</v>
      </c>
      <c r="M70" s="48"/>
      <c r="N70" s="49"/>
      <c r="O70" s="49"/>
      <c r="P70" s="49"/>
      <c r="Q70" s="49"/>
      <c r="R70" s="49"/>
      <c r="S70" s="49"/>
      <c r="T70" s="49"/>
      <c r="U70" s="49"/>
      <c r="V70" s="49"/>
      <c r="W70" s="49"/>
      <c r="X70" s="49"/>
      <c r="AB70" s="50"/>
      <c r="AC70" s="50"/>
    </row>
    <row r="71" spans="1:29" ht="13.2" x14ac:dyDescent="0.25">
      <c r="A71" s="278">
        <f>'Rainfall &amp; Maintenance'!A20</f>
        <v>0.3</v>
      </c>
      <c r="B71" s="273">
        <f>'Rainfall &amp; Maintenance'!B20</f>
        <v>0.05</v>
      </c>
      <c r="C71" s="274">
        <f>'Rainfall &amp; Maintenance'!C20</f>
        <v>2.6</v>
      </c>
      <c r="D71" s="274">
        <f t="shared" si="4"/>
        <v>2.8189199999999999</v>
      </c>
      <c r="E71" s="274">
        <f t="shared" si="0"/>
        <v>2.8189199999999999</v>
      </c>
      <c r="F71" s="275">
        <f t="shared" si="1"/>
        <v>36.189675742942882</v>
      </c>
      <c r="G71" s="280">
        <f>IF(F71&lt;$C$41,$C$42,IF(F71&gt;=$K$41,($K$41*$K$42+(F71-$K$41)*0)/F71,TREND(INDEX('Test Unit Summary'!$B$6:$C$13,L70,2):INDEX('Test Unit Summary'!$B$6:$C$13,L70+1,2),INDEX('Test Unit Summary'!$B$6:$C$13,L70,1):INDEX('Test Unit Summary'!$B$6:$C$13,L70+1,1),F71)))</f>
        <v>0.67700000000000005</v>
      </c>
      <c r="H71" s="276" t="str">
        <f t="shared" si="2"/>
        <v>N/A</v>
      </c>
      <c r="I71" s="276">
        <f t="shared" si="3"/>
        <v>3.3850000000000005E-2</v>
      </c>
      <c r="J71" s="276"/>
      <c r="K71" s="277">
        <f>Table2[[#This Row],[Column8]]+K70</f>
        <v>0.2031</v>
      </c>
      <c r="L71" s="48">
        <f>MATCH(F72,'Test Unit Summary'!$B$6:$B$13,1)</f>
        <v>1</v>
      </c>
      <c r="M71" s="48"/>
      <c r="N71" s="49"/>
      <c r="O71" s="49"/>
      <c r="P71" s="49"/>
      <c r="Q71" s="49"/>
      <c r="R71" s="49"/>
      <c r="S71" s="49"/>
      <c r="T71" s="49"/>
      <c r="U71" s="49"/>
      <c r="V71" s="49"/>
      <c r="W71" s="49"/>
      <c r="X71" s="49"/>
      <c r="AB71" s="50"/>
      <c r="AC71" s="50"/>
    </row>
    <row r="72" spans="1:29" ht="13.2" x14ac:dyDescent="0.25">
      <c r="A72" s="143">
        <f>'Rainfall &amp; Maintenance'!A21</f>
        <v>0.35</v>
      </c>
      <c r="B72" s="109">
        <f>'Rainfall &amp; Maintenance'!B21</f>
        <v>0.05</v>
      </c>
      <c r="C72" s="141">
        <f>'Rainfall &amp; Maintenance'!C21</f>
        <v>2.9</v>
      </c>
      <c r="D72" s="141">
        <f t="shared" si="4"/>
        <v>3.14418</v>
      </c>
      <c r="E72" s="141">
        <f t="shared" si="0"/>
        <v>3.14418</v>
      </c>
      <c r="F72" s="145">
        <f t="shared" si="1"/>
        <v>40.365407559436292</v>
      </c>
      <c r="G72" s="279">
        <f>IF(F72&lt;$C$41,$C$42,IF(F72&gt;=$K$41,($K$41*$K$42+(F72-$K$41)*0)/F72,TREND(INDEX('Test Unit Summary'!$B$6:$C$13,L71,2):INDEX('Test Unit Summary'!$B$6:$C$13,L71+1,2),INDEX('Test Unit Summary'!$B$6:$C$13,L71,1):INDEX('Test Unit Summary'!$B$6:$C$13,L71+1,1),F72)))</f>
        <v>0.67659805168462017</v>
      </c>
      <c r="H72" s="146" t="str">
        <f t="shared" si="2"/>
        <v>N/A</v>
      </c>
      <c r="I72" s="146">
        <f t="shared" si="3"/>
        <v>3.3829902584231013E-2</v>
      </c>
      <c r="J72" s="146"/>
      <c r="K72" s="103">
        <f>Table2[[#This Row],[Column8]]+K71</f>
        <v>0.23692990258423102</v>
      </c>
      <c r="L72" s="48">
        <f>MATCH(F73,'Test Unit Summary'!$B$6:$B$13,1)</f>
        <v>1</v>
      </c>
      <c r="M72" s="48"/>
      <c r="N72" s="49"/>
      <c r="O72" s="49"/>
      <c r="P72" s="49"/>
      <c r="Q72" s="49"/>
      <c r="R72" s="49"/>
      <c r="S72" s="49"/>
      <c r="T72" s="49"/>
      <c r="U72" s="49"/>
      <c r="V72" s="49"/>
      <c r="W72" s="49"/>
      <c r="X72" s="49"/>
      <c r="AB72" s="50"/>
      <c r="AC72" s="50"/>
    </row>
    <row r="73" spans="1:29" ht="13.2" x14ac:dyDescent="0.25">
      <c r="A73" s="278">
        <f>'Rainfall &amp; Maintenance'!A22</f>
        <v>0.39999999999999997</v>
      </c>
      <c r="B73" s="273">
        <f>'Rainfall &amp; Maintenance'!B22</f>
        <v>0.05</v>
      </c>
      <c r="C73" s="274">
        <f>'Rainfall &amp; Maintenance'!C22</f>
        <v>3.3</v>
      </c>
      <c r="D73" s="274">
        <f t="shared" si="4"/>
        <v>3.5778599999999994</v>
      </c>
      <c r="E73" s="274">
        <f t="shared" si="0"/>
        <v>3.5778599999999994</v>
      </c>
      <c r="F73" s="275">
        <f t="shared" si="1"/>
        <v>45.933049981427494</v>
      </c>
      <c r="G73" s="280">
        <f>IF(F73&lt;$C$41,$C$42,IF(F73&gt;=$K$41,($K$41*$K$42+(F73-$K$41)*0)/F73,TREND(INDEX('Test Unit Summary'!$B$6:$C$13,L72,2):INDEX('Test Unit Summary'!$B$6:$C$13,L72+1,2),INDEX('Test Unit Summary'!$B$6:$C$13,L72,1):INDEX('Test Unit Summary'!$B$6:$C$13,L72+1,1),F73)))</f>
        <v>0.67047364502042983</v>
      </c>
      <c r="H73" s="276" t="str">
        <f t="shared" si="2"/>
        <v>N/A</v>
      </c>
      <c r="I73" s="276">
        <f t="shared" si="3"/>
        <v>3.3523682251021494E-2</v>
      </c>
      <c r="J73" s="276"/>
      <c r="K73" s="277">
        <f>Table2[[#This Row],[Column8]]+K72</f>
        <v>0.2704535848352525</v>
      </c>
      <c r="L73" s="48">
        <f>MATCH(F74,'Test Unit Summary'!$B$6:$B$13,1)</f>
        <v>1</v>
      </c>
      <c r="M73" s="48"/>
      <c r="N73" s="49"/>
      <c r="O73" s="49"/>
      <c r="P73" s="49"/>
      <c r="Q73" s="49"/>
      <c r="R73" s="49"/>
      <c r="S73" s="49"/>
      <c r="T73" s="49"/>
      <c r="U73" s="49"/>
      <c r="V73" s="49"/>
      <c r="W73" s="49"/>
      <c r="X73" s="49"/>
      <c r="AB73" s="50"/>
      <c r="AC73" s="50"/>
    </row>
    <row r="74" spans="1:29" ht="13.2" x14ac:dyDescent="0.25">
      <c r="A74" s="143">
        <f>'Rainfall &amp; Maintenance'!A23</f>
        <v>0.44999999999999996</v>
      </c>
      <c r="B74" s="109">
        <f>'Rainfall &amp; Maintenance'!B23</f>
        <v>0.05</v>
      </c>
      <c r="C74" s="141">
        <f>'Rainfall &amp; Maintenance'!C23</f>
        <v>3.8</v>
      </c>
      <c r="D74" s="141">
        <f t="shared" si="4"/>
        <v>4.1199599999999998</v>
      </c>
      <c r="E74" s="141">
        <f t="shared" si="0"/>
        <v>4.1199599999999998</v>
      </c>
      <c r="F74" s="145">
        <f t="shared" si="1"/>
        <v>52.892603008916517</v>
      </c>
      <c r="G74" s="279">
        <f>IF(F74&lt;$C$41,$C$42,IF(F74&gt;=$K$41,($K$41*$K$42+(F74-$K$41)*0)/F74,TREND(INDEX('Test Unit Summary'!$B$6:$C$13,L73,2):INDEX('Test Unit Summary'!$B$6:$C$13,L73+1,2),INDEX('Test Unit Summary'!$B$6:$C$13,L73,1):INDEX('Test Unit Summary'!$B$6:$C$13,L73+1,1),F74)))</f>
        <v>0.66281813669019185</v>
      </c>
      <c r="H74" s="146" t="str">
        <f t="shared" si="2"/>
        <v>N/A</v>
      </c>
      <c r="I74" s="146">
        <f t="shared" si="3"/>
        <v>3.3140906834509591E-2</v>
      </c>
      <c r="J74" s="146"/>
      <c r="K74" s="103">
        <f>Table2[[#This Row],[Column8]]+K73</f>
        <v>0.3035944916697621</v>
      </c>
      <c r="L74" s="48">
        <f>MATCH(F75,'Test Unit Summary'!$B$6:$B$13,1)</f>
        <v>1</v>
      </c>
      <c r="M74" s="48"/>
      <c r="N74" s="49"/>
      <c r="O74" s="49"/>
      <c r="P74" s="49"/>
      <c r="Q74" s="49"/>
      <c r="R74" s="49"/>
      <c r="S74" s="49"/>
      <c r="T74" s="49"/>
      <c r="U74" s="49"/>
      <c r="V74" s="49"/>
      <c r="W74" s="49"/>
      <c r="X74" s="49"/>
      <c r="AB74" s="50"/>
      <c r="AC74" s="50"/>
    </row>
    <row r="75" spans="1:29" ht="13.2" x14ac:dyDescent="0.25">
      <c r="A75" s="278">
        <f>'Rainfall &amp; Maintenance'!A24</f>
        <v>0.49999999999999994</v>
      </c>
      <c r="B75" s="273">
        <f>'Rainfall &amp; Maintenance'!B24</f>
        <v>0.05</v>
      </c>
      <c r="C75" s="274">
        <f>'Rainfall &amp; Maintenance'!C24</f>
        <v>4.2</v>
      </c>
      <c r="D75" s="274">
        <f t="shared" si="4"/>
        <v>4.5536399999999997</v>
      </c>
      <c r="E75" s="274">
        <f t="shared" si="0"/>
        <v>4.5536399999999997</v>
      </c>
      <c r="F75" s="275">
        <f t="shared" si="1"/>
        <v>58.460245430907726</v>
      </c>
      <c r="G75" s="280">
        <f>IF(F75&lt;$C$41,$C$42,IF(F75&gt;=$K$41,($K$41*$K$42+(F75-$K$41)*0)/F75,TREND(INDEX('Test Unit Summary'!$B$6:$C$13,L74,2):INDEX('Test Unit Summary'!$B$6:$C$13,L74+1,2),INDEX('Test Unit Summary'!$B$6:$C$13,L74,1):INDEX('Test Unit Summary'!$B$6:$C$13,L74+1,1),F75)))</f>
        <v>0.65669373002600151</v>
      </c>
      <c r="H75" s="276" t="str">
        <f t="shared" si="2"/>
        <v>N/A</v>
      </c>
      <c r="I75" s="276">
        <f t="shared" si="3"/>
        <v>3.283468650130008E-2</v>
      </c>
      <c r="J75" s="276"/>
      <c r="K75" s="277">
        <f>Table2[[#This Row],[Column8]]+K74</f>
        <v>0.33642917817106216</v>
      </c>
      <c r="L75" s="48">
        <f>MATCH(F76,'Test Unit Summary'!$B$6:$B$13,1)</f>
        <v>1</v>
      </c>
      <c r="M75" s="48"/>
      <c r="N75" s="49"/>
      <c r="O75" s="49"/>
      <c r="P75" s="49"/>
      <c r="Q75" s="49"/>
      <c r="R75" s="49"/>
      <c r="S75" s="49"/>
      <c r="T75" s="49"/>
      <c r="U75" s="49"/>
      <c r="V75" s="49"/>
      <c r="W75" s="49"/>
      <c r="X75" s="49"/>
      <c r="AB75" s="50"/>
      <c r="AC75" s="50"/>
    </row>
    <row r="76" spans="1:29" ht="13.2" x14ac:dyDescent="0.25">
      <c r="A76" s="143">
        <f>'Rainfall &amp; Maintenance'!A25</f>
        <v>0.54999999999999993</v>
      </c>
      <c r="B76" s="109">
        <f>'Rainfall &amp; Maintenance'!B25</f>
        <v>0.05</v>
      </c>
      <c r="C76" s="141">
        <f>'Rainfall &amp; Maintenance'!C25</f>
        <v>4.8</v>
      </c>
      <c r="D76" s="141">
        <f t="shared" si="4"/>
        <v>5.204159999999999</v>
      </c>
      <c r="E76" s="141">
        <f t="shared" si="0"/>
        <v>5.204159999999999</v>
      </c>
      <c r="F76" s="145">
        <f t="shared" si="1"/>
        <v>66.811709063894526</v>
      </c>
      <c r="G76" s="279">
        <f>IF(F76&lt;$C$41,$C$42,IF(F76&gt;=$K$41,($K$41*$K$42+(F76-$K$41)*0)/F76,TREND(INDEX('Test Unit Summary'!$B$6:$C$13,L75,2):INDEX('Test Unit Summary'!$B$6:$C$13,L75+1,2),INDEX('Test Unit Summary'!$B$6:$C$13,L75,1):INDEX('Test Unit Summary'!$B$6:$C$13,L75+1,1),F76)))</f>
        <v>0.647507120029716</v>
      </c>
      <c r="H76" s="146" t="str">
        <f t="shared" si="2"/>
        <v>N/A</v>
      </c>
      <c r="I76" s="146">
        <f t="shared" si="3"/>
        <v>3.2375356001485799E-2</v>
      </c>
      <c r="J76" s="146"/>
      <c r="K76" s="103">
        <f>Table2[[#This Row],[Column8]]+K75</f>
        <v>0.36880453417254794</v>
      </c>
      <c r="L76" s="48">
        <f>MATCH(F77,'Test Unit Summary'!$B$6:$B$13,1)</f>
        <v>1</v>
      </c>
      <c r="M76" s="48"/>
      <c r="N76" s="49"/>
      <c r="O76" s="49"/>
      <c r="P76" s="49"/>
      <c r="Q76" s="49"/>
      <c r="R76" s="49"/>
      <c r="S76" s="49"/>
      <c r="T76" s="49"/>
      <c r="U76" s="49"/>
      <c r="V76" s="49"/>
      <c r="W76" s="49"/>
      <c r="X76" s="49"/>
      <c r="AB76" s="50"/>
      <c r="AC76" s="50"/>
    </row>
    <row r="77" spans="1:29" ht="13.2" x14ac:dyDescent="0.25">
      <c r="A77" s="278">
        <f>'Rainfall &amp; Maintenance'!A26</f>
        <v>0.6</v>
      </c>
      <c r="B77" s="273">
        <f>'Rainfall &amp; Maintenance'!B26</f>
        <v>0.05</v>
      </c>
      <c r="C77" s="274">
        <f>'Rainfall &amp; Maintenance'!C26</f>
        <v>5.4</v>
      </c>
      <c r="D77" s="274">
        <f t="shared" si="4"/>
        <v>5.8546800000000001</v>
      </c>
      <c r="E77" s="274">
        <f t="shared" si="0"/>
        <v>5.8546800000000001</v>
      </c>
      <c r="F77" s="275">
        <f t="shared" si="1"/>
        <v>75.163172696881361</v>
      </c>
      <c r="G77" s="280">
        <f>IF(F77&lt;$C$41,$C$42,IF(F77&gt;=$K$41,($K$41*$K$42+(F77-$K$41)*0)/F77,TREND(INDEX('Test Unit Summary'!$B$6:$C$13,L76,2):INDEX('Test Unit Summary'!$B$6:$C$13,L76+1,2),INDEX('Test Unit Summary'!$B$6:$C$13,L76,1):INDEX('Test Unit Summary'!$B$6:$C$13,L76+1,1),F77)))</f>
        <v>0.63832051003343049</v>
      </c>
      <c r="H77" s="276" t="str">
        <f t="shared" si="2"/>
        <v>N/A</v>
      </c>
      <c r="I77" s="276">
        <f t="shared" si="3"/>
        <v>3.1916025501671524E-2</v>
      </c>
      <c r="J77" s="276"/>
      <c r="K77" s="277">
        <f>Table2[[#This Row],[Column8]]+K76</f>
        <v>0.40072055967421949</v>
      </c>
      <c r="L77" s="48">
        <f>MATCH(F78,'Test Unit Summary'!$B$6:$B$13,1)</f>
        <v>2</v>
      </c>
      <c r="M77" s="48"/>
      <c r="N77" s="74"/>
      <c r="O77" s="74"/>
      <c r="P77" s="74"/>
      <c r="Q77" s="74"/>
      <c r="R77" s="74"/>
      <c r="S77" s="74"/>
      <c r="T77" s="74"/>
      <c r="U77" s="74"/>
      <c r="V77" s="74"/>
      <c r="W77" s="74"/>
      <c r="X77" s="74"/>
      <c r="AB77" s="50"/>
      <c r="AC77" s="50"/>
    </row>
    <row r="78" spans="1:29" ht="13.2" x14ac:dyDescent="0.25">
      <c r="A78" s="143">
        <f>'Rainfall &amp; Maintenance'!A27</f>
        <v>0.65</v>
      </c>
      <c r="B78" s="109">
        <f>'Rainfall &amp; Maintenance'!B27</f>
        <v>0.05</v>
      </c>
      <c r="C78" s="141">
        <f>'Rainfall &amp; Maintenance'!C27</f>
        <v>6.1</v>
      </c>
      <c r="D78" s="141">
        <f t="shared" si="4"/>
        <v>6.6136199999999992</v>
      </c>
      <c r="E78" s="141">
        <f t="shared" si="0"/>
        <v>6.6136199999999992</v>
      </c>
      <c r="F78" s="145">
        <f t="shared" si="1"/>
        <v>84.906546935365981</v>
      </c>
      <c r="G78" s="279">
        <f>IF(F78&lt;$C$41,$C$42,IF(F78&gt;=$K$41,($K$41*$K$42+(F78-$K$41)*0)/F78,TREND(INDEX('Test Unit Summary'!$B$6:$C$13,L77,2):INDEX('Test Unit Summary'!$B$6:$C$13,L77+1,2),INDEX('Test Unit Summary'!$B$6:$C$13,L77,1):INDEX('Test Unit Summary'!$B$6:$C$13,L77+1,1),F78)))</f>
        <v>0.62956541714524383</v>
      </c>
      <c r="H78" s="146" t="str">
        <f t="shared" si="2"/>
        <v>N/A</v>
      </c>
      <c r="I78" s="146">
        <f t="shared" si="3"/>
        <v>3.1478270857262194E-2</v>
      </c>
      <c r="J78" s="146"/>
      <c r="K78" s="103">
        <f>Table2[[#This Row],[Column8]]+K77</f>
        <v>0.43219883053148167</v>
      </c>
      <c r="L78" s="48">
        <f>MATCH(F79,'Test Unit Summary'!$B$6:$B$13,1)</f>
        <v>2</v>
      </c>
      <c r="M78" s="48"/>
      <c r="N78" s="74"/>
      <c r="O78" s="74"/>
      <c r="P78" s="74"/>
      <c r="Q78" s="74"/>
      <c r="R78" s="74"/>
      <c r="S78" s="74"/>
      <c r="T78" s="74"/>
      <c r="U78" s="74"/>
      <c r="V78" s="74"/>
      <c r="W78" s="74"/>
      <c r="X78" s="74"/>
      <c r="AB78" s="50"/>
      <c r="AC78" s="50"/>
    </row>
    <row r="79" spans="1:29" ht="13.2" x14ac:dyDescent="0.25">
      <c r="A79" s="278">
        <f>'Rainfall &amp; Maintenance'!A28</f>
        <v>0.70000000000000007</v>
      </c>
      <c r="B79" s="273">
        <f>'Rainfall &amp; Maintenance'!B28</f>
        <v>0.05</v>
      </c>
      <c r="C79" s="274">
        <f>'Rainfall &amp; Maintenance'!C28</f>
        <v>7.1</v>
      </c>
      <c r="D79" s="274">
        <f t="shared" si="4"/>
        <v>7.6978200000000001</v>
      </c>
      <c r="E79" s="274">
        <f t="shared" si="0"/>
        <v>7.6978200000000001</v>
      </c>
      <c r="F79" s="275">
        <f t="shared" si="1"/>
        <v>98.825652990344011</v>
      </c>
      <c r="G79" s="280">
        <f>IF(F79&lt;$C$41,$C$42,IF(F79&gt;=$K$41,($K$41*$K$42+(F79-$K$41)*0)/F79,TREND(INDEX('Test Unit Summary'!$B$6:$C$13,L78,2):INDEX('Test Unit Summary'!$B$6:$C$13,L78+1,2),INDEX('Test Unit Summary'!$B$6:$C$13,L78,1):INDEX('Test Unit Summary'!$B$6:$C$13,L78+1,1),F79)))</f>
        <v>0.61982204290675924</v>
      </c>
      <c r="H79" s="276" t="str">
        <f t="shared" si="2"/>
        <v>N/A</v>
      </c>
      <c r="I79" s="276">
        <f t="shared" si="3"/>
        <v>3.0991102145337963E-2</v>
      </c>
      <c r="J79" s="276"/>
      <c r="K79" s="277">
        <f>Table2[[#This Row],[Column8]]+K78</f>
        <v>0.46318993267681963</v>
      </c>
      <c r="L79" s="48">
        <f>MATCH(F80,'Test Unit Summary'!$B$6:$B$13,1)</f>
        <v>2</v>
      </c>
      <c r="M79" s="48"/>
      <c r="N79" s="74"/>
      <c r="O79" s="74"/>
      <c r="P79" s="74"/>
      <c r="Q79" s="74"/>
      <c r="R79" s="74"/>
      <c r="S79" s="74"/>
      <c r="T79" s="74"/>
      <c r="U79" s="74"/>
      <c r="V79" s="74"/>
      <c r="W79" s="74"/>
      <c r="X79" s="74"/>
      <c r="AB79" s="50"/>
      <c r="AC79" s="50"/>
    </row>
    <row r="80" spans="1:29" ht="13.2" x14ac:dyDescent="0.25">
      <c r="A80" s="143">
        <f>'Rainfall &amp; Maintenance'!A29</f>
        <v>0.75000000000000011</v>
      </c>
      <c r="B80" s="109">
        <f>'Rainfall &amp; Maintenance'!B29</f>
        <v>0.05</v>
      </c>
      <c r="C80" s="141">
        <f>'Rainfall &amp; Maintenance'!C29</f>
        <v>8.1999999999999993</v>
      </c>
      <c r="D80" s="141">
        <f t="shared" si="4"/>
        <v>8.8904399999999999</v>
      </c>
      <c r="E80" s="141">
        <f t="shared" si="0"/>
        <v>8.8904399999999999</v>
      </c>
      <c r="F80" s="145">
        <f t="shared" si="1"/>
        <v>114.13666965081984</v>
      </c>
      <c r="G80" s="279">
        <f>IF(F80&lt;$C$41,$C$42,IF(F80&gt;=$K$41,($K$41*$K$42+(F80-$K$41)*0)/F80,TREND(INDEX('Test Unit Summary'!$B$6:$C$13,L79,2):INDEX('Test Unit Summary'!$B$6:$C$13,L79+1,2),INDEX('Test Unit Summary'!$B$6:$C$13,L79,1):INDEX('Test Unit Summary'!$B$6:$C$13,L79+1,1),F80)))</f>
        <v>0.60910433124442609</v>
      </c>
      <c r="H80" s="146" t="str">
        <f t="shared" si="2"/>
        <v>N/A</v>
      </c>
      <c r="I80" s="146">
        <f t="shared" si="3"/>
        <v>3.0455216562221304E-2</v>
      </c>
      <c r="J80" s="146"/>
      <c r="K80" s="103">
        <f>Table2[[#This Row],[Column8]]+K79</f>
        <v>0.4936451492390409</v>
      </c>
      <c r="L80" s="48">
        <f>MATCH(F81,'Test Unit Summary'!$B$6:$B$13,1)</f>
        <v>2</v>
      </c>
      <c r="M80" s="48"/>
      <c r="N80" s="74"/>
      <c r="O80" s="74"/>
      <c r="P80" s="74"/>
      <c r="Q80" s="74"/>
      <c r="R80" s="74"/>
      <c r="S80" s="74"/>
      <c r="T80" s="74"/>
      <c r="U80" s="74"/>
      <c r="V80" s="74"/>
      <c r="W80" s="74"/>
      <c r="X80" s="74"/>
      <c r="AB80" s="50"/>
      <c r="AC80" s="50"/>
    </row>
    <row r="81" spans="1:35" x14ac:dyDescent="0.25">
      <c r="A81" s="278">
        <f>'Rainfall &amp; Maintenance'!A30</f>
        <v>0.80000000000000016</v>
      </c>
      <c r="B81" s="273">
        <f>'Rainfall &amp; Maintenance'!B30</f>
        <v>0.05</v>
      </c>
      <c r="C81" s="274">
        <f>'Rainfall &amp; Maintenance'!C30</f>
        <v>10.199999999999999</v>
      </c>
      <c r="D81" s="274">
        <f t="shared" si="4"/>
        <v>11.058839999999998</v>
      </c>
      <c r="E81" s="274">
        <f t="shared" si="0"/>
        <v>11.058839999999998</v>
      </c>
      <c r="F81" s="275">
        <f t="shared" si="1"/>
        <v>141.97488176077587</v>
      </c>
      <c r="G81" s="280">
        <f>IF(F81&lt;$C$41,$C$42,IF(F81&gt;=$K$41,($K$41*$K$42+(F81-$K$41)*0)/F81,TREND(INDEX('Test Unit Summary'!$B$6:$C$13,L80,2):INDEX('Test Unit Summary'!$B$6:$C$13,L80+1,2),INDEX('Test Unit Summary'!$B$6:$C$13,L80,1):INDEX('Test Unit Summary'!$B$6:$C$13,L80+1,1),F81)))</f>
        <v>0.5896175827674569</v>
      </c>
      <c r="H81" s="276" t="str">
        <f t="shared" si="2"/>
        <v>N/A</v>
      </c>
      <c r="I81" s="276">
        <f t="shared" si="3"/>
        <v>2.9480879138372846E-2</v>
      </c>
      <c r="J81" s="276"/>
      <c r="K81" s="277">
        <f>Table2[[#This Row],[Column8]]+K80</f>
        <v>0.52312602837741373</v>
      </c>
      <c r="L81" s="48">
        <f>MATCH(F82,'Test Unit Summary'!$B$6:$B$13,1)</f>
        <v>2</v>
      </c>
      <c r="M81" s="48"/>
      <c r="AB81" s="50"/>
      <c r="AC81" s="50"/>
    </row>
    <row r="82" spans="1:35" x14ac:dyDescent="0.25">
      <c r="A82" s="143">
        <f>'Rainfall &amp; Maintenance'!A31</f>
        <v>0.8500000000000002</v>
      </c>
      <c r="B82" s="109">
        <f>'Rainfall &amp; Maintenance'!B31</f>
        <v>0.05</v>
      </c>
      <c r="C82" s="141">
        <f>'Rainfall &amp; Maintenance'!C31</f>
        <v>12.6</v>
      </c>
      <c r="D82" s="141">
        <f t="shared" si="4"/>
        <v>13.660919999999999</v>
      </c>
      <c r="E82" s="141">
        <f t="shared" si="0"/>
        <v>13.660919999999999</v>
      </c>
      <c r="F82" s="145">
        <f t="shared" si="1"/>
        <v>175.38073629272316</v>
      </c>
      <c r="G82" s="279">
        <f>IF(F82&lt;$C$41,$C$42,IF(F82&gt;=$K$41,($K$41*$K$42+(F82-$K$41)*0)/F82,TREND(INDEX('Test Unit Summary'!$B$6:$C$13,L81,2):INDEX('Test Unit Summary'!$B$6:$C$13,L81+1,2),INDEX('Test Unit Summary'!$B$6:$C$13,L81,1):INDEX('Test Unit Summary'!$B$6:$C$13,L81+1,1),F82)))</f>
        <v>0.56623348459509382</v>
      </c>
      <c r="H82" s="146" t="str">
        <f t="shared" si="2"/>
        <v>N/A</v>
      </c>
      <c r="I82" s="146">
        <f t="shared" si="3"/>
        <v>2.8311674229754693E-2</v>
      </c>
      <c r="J82" s="146"/>
      <c r="K82" s="103">
        <f>Table2[[#This Row],[Column8]]+K81</f>
        <v>0.5514377026071684</v>
      </c>
      <c r="L82" s="48">
        <f>MATCH(F83,'Test Unit Summary'!$B$6:$B$13,1)</f>
        <v>3</v>
      </c>
      <c r="M82" s="48"/>
      <c r="AB82" s="50"/>
      <c r="AC82" s="50"/>
    </row>
    <row r="83" spans="1:35" ht="13.2" x14ac:dyDescent="0.25">
      <c r="A83" s="278">
        <f>'Rainfall &amp; Maintenance'!A32</f>
        <v>0.90000000000000024</v>
      </c>
      <c r="B83" s="273">
        <f>'Rainfall &amp; Maintenance'!B32</f>
        <v>0.05</v>
      </c>
      <c r="C83" s="274">
        <f>'Rainfall &amp; Maintenance'!C32</f>
        <v>16.3</v>
      </c>
      <c r="D83" s="274">
        <f t="shared" si="4"/>
        <v>17.672460000000001</v>
      </c>
      <c r="E83" s="274">
        <f t="shared" si="0"/>
        <v>17.672460000000001</v>
      </c>
      <c r="F83" s="275">
        <f t="shared" si="1"/>
        <v>226.88142869614191</v>
      </c>
      <c r="G83" s="280">
        <f>IF(F83&lt;$C$41,$C$42,IF(F83&gt;=$K$41,($K$41*$K$42+(F83-$K$41)*0)/F83,TREND(INDEX('Test Unit Summary'!$B$6:$C$13,L82,2):INDEX('Test Unit Summary'!$B$6:$C$13,L82+1,2),INDEX('Test Unit Summary'!$B$6:$C$13,L82,1):INDEX('Test Unit Summary'!$B$6:$C$13,L82+1,1),F83)))</f>
        <v>0.53623132136933249</v>
      </c>
      <c r="H83" s="276" t="str">
        <f t="shared" si="2"/>
        <v>N/A</v>
      </c>
      <c r="I83" s="276">
        <f t="shared" si="3"/>
        <v>2.6811566068466627E-2</v>
      </c>
      <c r="J83" s="276"/>
      <c r="K83" s="277">
        <f>Table2[[#This Row],[Column8]]+K82</f>
        <v>0.57824926867563498</v>
      </c>
      <c r="L83" s="48">
        <f>MATCH(F84,'Test Unit Summary'!$B$6:$B$13,1)</f>
        <v>3</v>
      </c>
      <c r="M83" s="48"/>
      <c r="N83" s="49"/>
      <c r="O83" s="49"/>
      <c r="P83" s="49"/>
      <c r="Q83" s="49"/>
      <c r="R83" s="49"/>
      <c r="S83" s="49"/>
      <c r="T83" s="49"/>
      <c r="U83" s="49"/>
      <c r="V83" s="49"/>
      <c r="W83" s="49"/>
      <c r="X83" s="49"/>
      <c r="AB83" s="50"/>
      <c r="AC83" s="50"/>
    </row>
    <row r="84" spans="1:35" ht="13.2" x14ac:dyDescent="0.25">
      <c r="A84" s="143">
        <f>'Rainfall &amp; Maintenance'!A33</f>
        <v>0.95000000000000029</v>
      </c>
      <c r="B84" s="109">
        <f>'Rainfall &amp; Maintenance'!B33</f>
        <v>0.05</v>
      </c>
      <c r="C84" s="141">
        <f>'Rainfall &amp; Maintenance'!C33</f>
        <v>23.1</v>
      </c>
      <c r="D84" s="141">
        <f t="shared" si="4"/>
        <v>25.045020000000001</v>
      </c>
      <c r="E84" s="141">
        <f t="shared" si="0"/>
        <v>25.045020000000001</v>
      </c>
      <c r="F84" s="145">
        <f t="shared" si="1"/>
        <v>321.53134986999248</v>
      </c>
      <c r="G84" s="279">
        <f>IF(F84&lt;$C$41,$C$42,IF(F84&gt;=$K$41,($K$41*$K$42+(F84-$K$41)*0)/F84,TREND(INDEX('Test Unit Summary'!$B$6:$C$13,L83,2):INDEX('Test Unit Summary'!$B$6:$C$13,L83+1,2),INDEX('Test Unit Summary'!$B$6:$C$13,L83,1):INDEX('Test Unit Summary'!$B$6:$C$13,L83+1,1),F84)))</f>
        <v>0.4912726088117535</v>
      </c>
      <c r="H84" s="146" t="str">
        <f t="shared" si="2"/>
        <v>N/A</v>
      </c>
      <c r="I84" s="146">
        <f>IF(D84=0,0,IF(H84="N/A",B84*G84,B84*H84))</f>
        <v>2.4563630440587677E-2</v>
      </c>
      <c r="J84" s="146"/>
      <c r="K84" s="103">
        <f>Table2[[#This Row],[Column8]]+K83</f>
        <v>0.6028128991162226</v>
      </c>
      <c r="L84" s="48">
        <f>MATCH(F85,'Test Unit Summary'!$B$6:$B$13,1)</f>
        <v>4</v>
      </c>
      <c r="M84" s="48"/>
      <c r="N84" s="49"/>
      <c r="O84" s="49"/>
      <c r="P84" s="49"/>
      <c r="Q84" s="49"/>
      <c r="R84" s="49"/>
      <c r="S84" s="49"/>
      <c r="T84" s="49"/>
      <c r="U84" s="49"/>
      <c r="V84" s="49"/>
      <c r="W84" s="49"/>
      <c r="X84" s="49"/>
      <c r="AB84" s="50"/>
      <c r="AC84" s="50"/>
    </row>
    <row r="85" spans="1:35" ht="13.8" thickBot="1" x14ac:dyDescent="0.3">
      <c r="A85" s="315">
        <f>'Rainfall &amp; Maintenance'!A34</f>
        <v>1.0000000000000002</v>
      </c>
      <c r="B85" s="316">
        <f>'Rainfall &amp; Maintenance'!B34</f>
        <v>0.05</v>
      </c>
      <c r="C85" s="317">
        <f>'Rainfall &amp; Maintenance'!C34</f>
        <v>35.200000000000003</v>
      </c>
      <c r="D85" s="317">
        <f>$C$21*$C$22*C85*2.78</f>
        <v>38.16384</v>
      </c>
      <c r="E85" s="317">
        <f t="shared" si="0"/>
        <v>38.16384</v>
      </c>
      <c r="F85" s="313">
        <f t="shared" si="1"/>
        <v>489.95253313522664</v>
      </c>
      <c r="G85" s="314">
        <f>IF(F85&lt;$C$41,$C$42,IF(F85&gt;=$K$41,($K$41*$K$42+(F85-$K$41)*0)/F85,TREND(INDEX('Test Unit Summary'!$B$6:$C$13,L84,2):INDEX('Test Unit Summary'!$B$6:$C$13,L84+1,2),INDEX('Test Unit Summary'!$B$6:$C$13,L84,1):INDEX('Test Unit Summary'!$B$6:$C$13,L84+1,1),F85)))</f>
        <v>0.4391578320326876</v>
      </c>
      <c r="H85" s="318" t="str">
        <f t="shared" si="2"/>
        <v>N/A</v>
      </c>
      <c r="I85" s="318">
        <f t="shared" si="3"/>
        <v>2.1957891601634381E-2</v>
      </c>
      <c r="J85" s="318"/>
      <c r="K85" s="319">
        <f>Table2[[#This Row],[Column8]]+K84</f>
        <v>0.62477079071785702</v>
      </c>
      <c r="L85" s="48" t="e">
        <f>MATCH(F86,'Test Unit Summary'!$B$6:$B$13,1)</f>
        <v>#N/A</v>
      </c>
      <c r="M85" s="48"/>
      <c r="N85" s="49"/>
      <c r="O85" s="49"/>
      <c r="P85" s="49"/>
      <c r="Q85" s="49"/>
      <c r="R85" s="49"/>
      <c r="S85" s="49"/>
      <c r="T85" s="49"/>
      <c r="U85" s="49"/>
      <c r="V85" s="49"/>
      <c r="W85" s="49"/>
      <c r="X85" s="49"/>
      <c r="AB85" s="50"/>
      <c r="AC85" s="50"/>
    </row>
    <row r="86" spans="1:35" s="52" customFormat="1" ht="18.75" customHeight="1" x14ac:dyDescent="0.25">
      <c r="A86" s="77" t="s">
        <v>108</v>
      </c>
      <c r="B86" s="59"/>
      <c r="C86" s="59"/>
      <c r="D86" s="59"/>
      <c r="E86" s="59"/>
      <c r="F86" s="59"/>
      <c r="G86" s="59"/>
      <c r="H86" s="59"/>
      <c r="I86" s="59"/>
      <c r="J86" s="59"/>
      <c r="K86" s="60"/>
      <c r="M86" s="61"/>
      <c r="N86" s="62"/>
      <c r="O86" s="62"/>
      <c r="P86" s="62"/>
      <c r="Q86" s="62"/>
      <c r="R86" s="62"/>
      <c r="S86" s="62"/>
      <c r="T86" s="62"/>
      <c r="U86" s="62"/>
      <c r="V86" s="62"/>
      <c r="W86" s="62"/>
      <c r="X86" s="62"/>
      <c r="Y86" s="56"/>
      <c r="Z86" s="56"/>
      <c r="AA86" s="56"/>
      <c r="AB86" s="56"/>
      <c r="AC86" s="56"/>
      <c r="AD86" s="56"/>
      <c r="AE86" s="56"/>
      <c r="AF86" s="56"/>
      <c r="AG86" s="56"/>
      <c r="AH86" s="56"/>
      <c r="AI86" s="56"/>
    </row>
    <row r="87" spans="1:35" x14ac:dyDescent="0.25">
      <c r="A87" s="128"/>
      <c r="B87" s="128"/>
      <c r="C87" s="128"/>
      <c r="D87" s="128"/>
      <c r="E87" s="128"/>
      <c r="F87" s="128"/>
      <c r="G87" s="128"/>
      <c r="H87" s="128"/>
      <c r="I87" s="128"/>
      <c r="J87" s="128"/>
      <c r="K87" s="217"/>
    </row>
    <row r="88" spans="1:35" s="52" customFormat="1" ht="10.5" customHeight="1" x14ac:dyDescent="0.25">
      <c r="A88" s="215"/>
      <c r="B88" s="216"/>
      <c r="C88" s="216"/>
      <c r="D88" s="216"/>
      <c r="E88" s="216"/>
      <c r="F88" s="216"/>
      <c r="G88" s="216"/>
      <c r="H88" s="216"/>
      <c r="I88" s="216"/>
      <c r="J88" s="216"/>
      <c r="K88" s="217"/>
      <c r="M88" s="61"/>
      <c r="N88" s="62"/>
      <c r="O88" s="62"/>
      <c r="P88" s="62"/>
      <c r="Q88" s="62"/>
      <c r="R88" s="62"/>
      <c r="S88" s="62"/>
      <c r="T88" s="62"/>
      <c r="U88" s="62"/>
      <c r="V88" s="62"/>
      <c r="W88" s="62"/>
      <c r="X88" s="62"/>
      <c r="Y88" s="56"/>
      <c r="Z88" s="56"/>
      <c r="AA88" s="56"/>
      <c r="AB88" s="56"/>
      <c r="AC88" s="56"/>
      <c r="AD88" s="56"/>
      <c r="AE88" s="56"/>
      <c r="AF88" s="56"/>
      <c r="AG88" s="56"/>
      <c r="AH88" s="56"/>
      <c r="AI88" s="56"/>
    </row>
    <row r="89" spans="1:35" s="52" customFormat="1" ht="18.75" customHeight="1" thickBot="1" x14ac:dyDescent="0.3">
      <c r="A89" s="178" t="s">
        <v>83</v>
      </c>
      <c r="B89" s="56"/>
      <c r="C89" s="327" t="s">
        <v>109</v>
      </c>
      <c r="D89" s="327"/>
      <c r="E89" s="327"/>
      <c r="F89" s="327"/>
      <c r="G89" s="327"/>
      <c r="H89" s="327"/>
      <c r="I89" s="327"/>
      <c r="J89" s="327"/>
      <c r="K89" s="328"/>
      <c r="L89" s="53"/>
      <c r="M89" s="71"/>
      <c r="N89" s="54"/>
      <c r="O89" s="54"/>
      <c r="P89" s="54"/>
      <c r="Q89" s="54"/>
      <c r="R89" s="54"/>
      <c r="S89" s="54"/>
      <c r="T89" s="54"/>
      <c r="U89" s="54"/>
      <c r="V89" s="54"/>
      <c r="W89" s="54"/>
      <c r="X89" s="54"/>
      <c r="Y89" s="56"/>
      <c r="Z89" s="56"/>
      <c r="AA89" s="56"/>
      <c r="AB89" s="56"/>
      <c r="AC89" s="56"/>
      <c r="AD89" s="56"/>
      <c r="AE89" s="56"/>
      <c r="AF89" s="56"/>
      <c r="AG89" s="56"/>
      <c r="AH89" s="56"/>
      <c r="AI89" s="56"/>
    </row>
    <row r="90" spans="1:35" s="52" customFormat="1" ht="11.25" customHeight="1" x14ac:dyDescent="0.25">
      <c r="A90" s="180"/>
      <c r="B90" s="56"/>
      <c r="C90" s="218"/>
      <c r="D90" s="218"/>
      <c r="E90" s="219"/>
      <c r="F90" s="221"/>
      <c r="G90" s="56"/>
      <c r="H90" s="56"/>
      <c r="I90" s="56"/>
      <c r="J90" s="56"/>
      <c r="K90" s="210"/>
      <c r="M90" s="61"/>
      <c r="N90" s="62"/>
      <c r="O90" s="62"/>
      <c r="P90" s="62"/>
      <c r="Q90" s="62"/>
      <c r="R90" s="62"/>
      <c r="S90" s="62"/>
      <c r="T90" s="62"/>
      <c r="U90" s="62"/>
      <c r="V90" s="62"/>
      <c r="W90" s="62"/>
      <c r="X90" s="62"/>
      <c r="Y90" s="56"/>
      <c r="Z90" s="56"/>
      <c r="AA90" s="56"/>
      <c r="AB90" s="56"/>
      <c r="AC90" s="56"/>
      <c r="AD90" s="56"/>
      <c r="AE90" s="56"/>
      <c r="AF90" s="56"/>
      <c r="AG90" s="56"/>
      <c r="AH90" s="56"/>
      <c r="AI90" s="56"/>
    </row>
    <row r="91" spans="1:35" s="52" customFormat="1" ht="18.75" customHeight="1" thickBot="1" x14ac:dyDescent="0.3">
      <c r="A91" s="178" t="s">
        <v>30</v>
      </c>
      <c r="B91" s="56"/>
      <c r="C91" s="341">
        <v>45363</v>
      </c>
      <c r="D91" s="327"/>
      <c r="E91" s="327"/>
      <c r="F91" s="327"/>
      <c r="G91" s="327"/>
      <c r="H91" s="327"/>
      <c r="I91" s="327"/>
      <c r="J91" s="327"/>
      <c r="K91" s="328"/>
      <c r="L91" s="53"/>
      <c r="M91" s="71"/>
      <c r="N91" s="54"/>
      <c r="O91" s="54"/>
      <c r="P91" s="54"/>
      <c r="Q91" s="54"/>
      <c r="R91" s="54"/>
      <c r="S91" s="54"/>
      <c r="T91" s="54"/>
      <c r="U91" s="54"/>
      <c r="V91" s="54"/>
      <c r="W91" s="54"/>
      <c r="X91" s="54"/>
      <c r="Y91" s="56"/>
      <c r="Z91" s="56"/>
      <c r="AA91" s="56"/>
      <c r="AB91" s="56"/>
      <c r="AC91" s="56"/>
      <c r="AD91" s="56"/>
      <c r="AE91" s="56"/>
      <c r="AF91" s="56"/>
      <c r="AG91" s="56"/>
      <c r="AH91" s="56"/>
      <c r="AI91" s="56"/>
    </row>
    <row r="92" spans="1:35" s="52" customFormat="1" ht="11.25" customHeight="1" thickBot="1" x14ac:dyDescent="0.3">
      <c r="A92" s="211"/>
      <c r="B92" s="228"/>
      <c r="C92" s="229"/>
      <c r="D92" s="229"/>
      <c r="E92" s="230"/>
      <c r="F92" s="231"/>
      <c r="G92" s="228"/>
      <c r="H92" s="228"/>
      <c r="I92" s="228"/>
      <c r="J92" s="228"/>
      <c r="K92" s="232"/>
      <c r="M92" s="61"/>
      <c r="N92" s="62"/>
      <c r="O92" s="62"/>
      <c r="P92" s="62"/>
      <c r="Q92" s="62"/>
      <c r="R92" s="62"/>
      <c r="S92" s="62"/>
      <c r="T92" s="62"/>
      <c r="U92" s="62"/>
      <c r="V92" s="62"/>
      <c r="W92" s="62"/>
      <c r="X92" s="62"/>
      <c r="Y92" s="56"/>
      <c r="Z92" s="56"/>
      <c r="AA92" s="56"/>
      <c r="AB92" s="56"/>
      <c r="AC92" s="56"/>
      <c r="AD92" s="56"/>
      <c r="AE92" s="56"/>
      <c r="AF92" s="56"/>
      <c r="AG92" s="56"/>
      <c r="AH92" s="56"/>
      <c r="AI92" s="56"/>
    </row>
    <row r="93" spans="1:35" s="50" customFormat="1" x14ac:dyDescent="0.25">
      <c r="N93" s="75"/>
      <c r="O93" s="75"/>
      <c r="P93" s="75"/>
      <c r="Q93" s="75"/>
      <c r="R93" s="75"/>
      <c r="S93" s="75"/>
      <c r="T93" s="75"/>
      <c r="U93" s="75"/>
      <c r="V93" s="75"/>
      <c r="W93" s="75"/>
      <c r="X93" s="75"/>
      <c r="AB93" s="76"/>
      <c r="AC93" s="76"/>
    </row>
    <row r="94" spans="1:35" s="50" customFormat="1" ht="136.5" customHeight="1" x14ac:dyDescent="0.25">
      <c r="A94" s="333" t="s">
        <v>116</v>
      </c>
      <c r="B94" s="333"/>
      <c r="C94" s="333"/>
      <c r="D94" s="333"/>
      <c r="E94" s="333"/>
      <c r="F94" s="333"/>
      <c r="G94" s="333"/>
      <c r="H94" s="333"/>
      <c r="I94" s="333"/>
      <c r="J94" s="333"/>
      <c r="K94" s="333"/>
      <c r="N94" s="75"/>
      <c r="O94" s="75"/>
      <c r="P94" s="75"/>
      <c r="Q94" s="75"/>
      <c r="R94" s="75"/>
      <c r="S94" s="75"/>
      <c r="T94" s="75"/>
      <c r="U94" s="75"/>
      <c r="V94" s="75"/>
      <c r="W94" s="75"/>
      <c r="X94" s="75"/>
      <c r="AB94" s="76"/>
      <c r="AC94" s="76"/>
    </row>
    <row r="95" spans="1:35" s="50" customFormat="1" ht="15.6" x14ac:dyDescent="0.3">
      <c r="A95" s="133" t="s">
        <v>115</v>
      </c>
      <c r="B95" s="128"/>
      <c r="C95" s="128"/>
      <c r="D95" s="128"/>
      <c r="E95" s="128"/>
      <c r="F95" s="128"/>
      <c r="G95" s="128"/>
      <c r="H95" s="128"/>
      <c r="I95" s="128"/>
      <c r="J95" s="128"/>
      <c r="K95" s="128"/>
      <c r="L95" s="128"/>
      <c r="M95" s="128"/>
      <c r="N95" s="75"/>
      <c r="O95" s="75"/>
      <c r="P95" s="75"/>
      <c r="Q95" s="75"/>
      <c r="R95" s="75"/>
      <c r="S95" s="75"/>
      <c r="T95" s="75"/>
      <c r="U95" s="75"/>
      <c r="V95" s="75"/>
      <c r="W95" s="75"/>
      <c r="X95" s="75"/>
      <c r="AB95" s="76"/>
      <c r="AC95" s="76"/>
    </row>
    <row r="96" spans="1:35" x14ac:dyDescent="0.25">
      <c r="A96" s="128"/>
      <c r="B96" s="128"/>
      <c r="C96" s="128"/>
      <c r="D96" s="128"/>
      <c r="E96" s="128"/>
      <c r="F96" s="128"/>
      <c r="G96" s="128"/>
      <c r="H96" s="128"/>
      <c r="I96" s="128"/>
      <c r="J96" s="128"/>
      <c r="K96" s="128"/>
      <c r="L96" s="128"/>
      <c r="M96" s="128"/>
    </row>
    <row r="97" spans="1:13" x14ac:dyDescent="0.25">
      <c r="A97" s="128"/>
      <c r="B97" s="128"/>
      <c r="C97" s="128"/>
      <c r="D97" s="128"/>
      <c r="E97" s="128"/>
      <c r="F97" s="128"/>
      <c r="G97" s="128"/>
      <c r="H97" s="128"/>
      <c r="I97" s="128"/>
      <c r="J97" s="128"/>
      <c r="K97" s="128"/>
      <c r="L97" s="128"/>
      <c r="M97" s="128"/>
    </row>
  </sheetData>
  <sheetProtection algorithmName="SHA-512" hashValue="oq/TqIMCPqRbBEdRhA88YnjifK20QZGW3Ojs9GwspUgqiTNwJ9zjlew3zeyXQd2FmuelyaTvnidyJGZg/d3ccA==" saltValue="UN6pra9Vc6XKKP2kv80i3Q==" spinCount="100000" sheet="1" objects="1" scenarios="1"/>
  <protectedRanges>
    <protectedRange algorithmName="SHA-512" hashValue="CSH6xMPBdrOp4vp7KfMVZPG5QypRLHZtlGUjjZl5Y0a3BXk9fi5WAQeb23KawQR5uYwiAklMVB31rbqjxooP/g==" saltValue="Sv/NNxrp8U11G5wowM2q4g==" spinCount="100000" sqref="C17" name="Range1"/>
  </protectedRanges>
  <mergeCells count="36">
    <mergeCell ref="H30:K30"/>
    <mergeCell ref="F30:G30"/>
    <mergeCell ref="C48:E48"/>
    <mergeCell ref="C33:D33"/>
    <mergeCell ref="C34:D34"/>
    <mergeCell ref="C32:D32"/>
    <mergeCell ref="C30:E30"/>
    <mergeCell ref="I48:K48"/>
    <mergeCell ref="G48:H48"/>
    <mergeCell ref="A94:K94"/>
    <mergeCell ref="H54:K54"/>
    <mergeCell ref="C61:E61"/>
    <mergeCell ref="F54:G54"/>
    <mergeCell ref="F55:G55"/>
    <mergeCell ref="F57:G57"/>
    <mergeCell ref="C57:E57"/>
    <mergeCell ref="H57:K57"/>
    <mergeCell ref="H55:K55"/>
    <mergeCell ref="C54:E54"/>
    <mergeCell ref="C55:E55"/>
    <mergeCell ref="C89:K89"/>
    <mergeCell ref="C91:K91"/>
    <mergeCell ref="G61:H61"/>
    <mergeCell ref="C28:K28"/>
    <mergeCell ref="F21:G21"/>
    <mergeCell ref="A1:K1"/>
    <mergeCell ref="C9:K9"/>
    <mergeCell ref="C5:K5"/>
    <mergeCell ref="C7:K7"/>
    <mergeCell ref="C15:K15"/>
    <mergeCell ref="F17:G17"/>
    <mergeCell ref="C21:E21"/>
    <mergeCell ref="H21:K21"/>
    <mergeCell ref="C22:E22"/>
    <mergeCell ref="C17:E17"/>
    <mergeCell ref="H17:K17"/>
  </mergeCells>
  <phoneticPr fontId="65" type="noConversion"/>
  <conditionalFormatting sqref="C22">
    <cfRule type="cellIs" dxfId="21" priority="32" operator="equal">
      <formula>"N/A"</formula>
    </cfRule>
    <cfRule type="cellIs" dxfId="20" priority="33" operator="equal">
      <formula>0</formula>
    </cfRule>
  </conditionalFormatting>
  <conditionalFormatting sqref="C41">
    <cfRule type="cellIs" dxfId="19" priority="45" operator="equal">
      <formula>"N/A"</formula>
    </cfRule>
    <cfRule type="cellIs" dxfId="18" priority="46" operator="equal">
      <formula>0</formula>
    </cfRule>
  </conditionalFormatting>
  <conditionalFormatting sqref="C45">
    <cfRule type="cellIs" dxfId="17" priority="39" operator="equal">
      <formula>"N/A"</formula>
    </cfRule>
    <cfRule type="cellIs" dxfId="16" priority="40" operator="equal">
      <formula>0</formula>
    </cfRule>
  </conditionalFormatting>
  <conditionalFormatting sqref="C61:E61">
    <cfRule type="cellIs" dxfId="15" priority="17" operator="greaterThanOrEqual">
      <formula>$C$17</formula>
    </cfRule>
    <cfRule type="cellIs" dxfId="14" priority="18" operator="lessThan">
      <formula>$C$17</formula>
    </cfRule>
  </conditionalFormatting>
  <conditionalFormatting sqref="C46:G46">
    <cfRule type="cellIs" dxfId="13" priority="1" operator="greaterThan">
      <formula>30</formula>
    </cfRule>
  </conditionalFormatting>
  <conditionalFormatting sqref="D36">
    <cfRule type="containsText" dxfId="12" priority="2" operator="containsText" text="No">
      <formula>NOT(ISERROR(SEARCH("No",D36)))</formula>
    </cfRule>
  </conditionalFormatting>
  <conditionalFormatting sqref="D41">
    <cfRule type="cellIs" dxfId="11" priority="47" operator="lessThanOrEqual">
      <formula>0</formula>
    </cfRule>
  </conditionalFormatting>
  <conditionalFormatting sqref="D45">
    <cfRule type="cellIs" dxfId="10" priority="41" operator="lessThanOrEqual">
      <formula>0</formula>
    </cfRule>
  </conditionalFormatting>
  <conditionalFormatting sqref="F55:G55">
    <cfRule type="expression" priority="8" stopIfTrue="1">
      <formula>$C$55="Yes"</formula>
    </cfRule>
    <cfRule type="expression" dxfId="9" priority="9">
      <formula>$H$54="On-Line"</formula>
    </cfRule>
    <cfRule type="expression" dxfId="8" priority="10">
      <formula>$H$54="Select from Dropdown"</formula>
    </cfRule>
  </conditionalFormatting>
  <conditionalFormatting sqref="H54:K54">
    <cfRule type="cellIs" dxfId="7" priority="13" stopIfTrue="1" operator="equal">
      <formula>"Off-Line"</formula>
    </cfRule>
    <cfRule type="expression" dxfId="6" priority="14">
      <formula>$C$54="No"</formula>
    </cfRule>
  </conditionalFormatting>
  <conditionalFormatting sqref="H55:K55">
    <cfRule type="expression" dxfId="4" priority="11" stopIfTrue="1">
      <formula>$H$54="Off-Line"</formula>
    </cfRule>
    <cfRule type="expression" dxfId="3" priority="21" stopIfTrue="1">
      <formula>$C$55="Yes"</formula>
    </cfRule>
    <cfRule type="expression" dxfId="2" priority="22">
      <formula>$H$54="In-Line"</formula>
    </cfRule>
    <cfRule type="expression" dxfId="1" priority="23">
      <formula>$H$54="Select from Dropdown"</formula>
    </cfRule>
  </conditionalFormatting>
  <conditionalFormatting sqref="H57:K57">
    <cfRule type="cellIs" dxfId="0" priority="12" operator="lessThanOrEqual">
      <formula>$C$57</formula>
    </cfRule>
  </conditionalFormatting>
  <dataValidations count="9">
    <dataValidation type="whole" showInputMessage="1" showErrorMessage="1" sqref="H21" xr:uid="{813036C8-2569-46A1-85EE-4639AC857507}">
      <formula1>0</formula1>
      <formula2>100</formula2>
    </dataValidation>
    <dataValidation type="decimal" showInputMessage="1" showErrorMessage="1" sqref="C17" xr:uid="{5E1F55B6-3B83-4547-A55D-46D771465349}">
      <formula1>0</formula1>
      <formula2>100</formula2>
    </dataValidation>
    <dataValidation type="list" allowBlank="1" showInputMessage="1" showErrorMessage="1" sqref="D56" xr:uid="{701EF83D-2897-4AB1-951D-2FE0C53A31C2}">
      <formula1>"Yes,No"</formula1>
    </dataValidation>
    <dataValidation type="list" allowBlank="1" showInputMessage="1" showErrorMessage="1" sqref="I56:J56" xr:uid="{6C865B0E-BA00-44B7-B9B2-B8F8DE81F764}">
      <formula1>"On-Line,Off-Line"</formula1>
    </dataValidation>
    <dataValidation type="list" allowBlank="1" showInputMessage="1" showErrorMessage="1" sqref="H17:K17 C55:E55" xr:uid="{2B35AA27-1815-436A-8E1D-CDBEF851B16D}">
      <formula1>"Select from Dropdown,Yes,No"</formula1>
    </dataValidation>
    <dataValidation type="list" allowBlank="1" showInputMessage="1" showErrorMessage="1" sqref="H54:K54" xr:uid="{F892B6C0-2B6F-43FF-97ED-CBBA2F02C507}">
      <formula1>"Select from Dropdown,In-Line,Off-Line"</formula1>
    </dataValidation>
    <dataValidation type="list" allowBlank="1" showInputMessage="1" showErrorMessage="1" sqref="C28:K28" xr:uid="{B247DAC5-9EEC-40CC-94F2-4B479D7A7AA9}">
      <formula1>Vendor</formula1>
    </dataValidation>
    <dataValidation type="list" allowBlank="1" showInputMessage="1" showErrorMessage="1" sqref="C30:E30" xr:uid="{125A2919-3D62-4FCF-85BC-340F9011DB95}">
      <formula1>INDIRECT(C28:K28)</formula1>
    </dataValidation>
    <dataValidation operator="lessThanOrEqual" allowBlank="1" showInputMessage="1" showErrorMessage="1" sqref="H55:K55" xr:uid="{735C64FC-91C7-45C9-964E-5D1DEBED4D93}"/>
  </dataValidations>
  <printOptions horizontalCentered="1"/>
  <pageMargins left="0.70866141732283472" right="0.70866141732283472" top="0.74803149606299213" bottom="0.74803149606299213" header="0.31496062992125984" footer="0.31496062992125984"/>
  <pageSetup scale="47" orientation="portrait" r:id="rId1"/>
  <headerFooter>
    <oddFooter>&amp;C&amp;"-,Italic"&amp;8Page &amp;P of &amp;N_x000D_&amp;1#&amp;"Calibri"&amp;10&amp;K000000 Mott MacDonald Restricted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44" r:id="rId4" name="Check Box 120">
              <controlPr defaultSize="0" autoFill="0" autoLine="0" autoPict="0">
                <anchor moveWithCells="1">
                  <from>
                    <xdr:col>6</xdr:col>
                    <xdr:colOff>7620</xdr:colOff>
                    <xdr:row>25</xdr:row>
                    <xdr:rowOff>7620</xdr:rowOff>
                  </from>
                  <to>
                    <xdr:col>6</xdr:col>
                    <xdr:colOff>228600</xdr:colOff>
                    <xdr:row>26</xdr:row>
                    <xdr:rowOff>0</xdr:rowOff>
                  </to>
                </anchor>
              </controlPr>
            </control>
          </mc:Choice>
        </mc:AlternateContent>
        <mc:AlternateContent xmlns:mc="http://schemas.openxmlformats.org/markup-compatibility/2006">
          <mc:Choice Requires="x14">
            <control shapeId="1161" r:id="rId5" name="Check Box 137">
              <controlPr defaultSize="0" autoFill="0" autoLine="0" autoPict="0">
                <anchor moveWithCells="1">
                  <from>
                    <xdr:col>1</xdr:col>
                    <xdr:colOff>899160</xdr:colOff>
                    <xdr:row>24</xdr:row>
                    <xdr:rowOff>144780</xdr:rowOff>
                  </from>
                  <to>
                    <xdr:col>1</xdr:col>
                    <xdr:colOff>1127760</xdr:colOff>
                    <xdr:row>25</xdr:row>
                    <xdr:rowOff>228600</xdr:rowOff>
                  </to>
                </anchor>
              </controlPr>
            </control>
          </mc:Choice>
        </mc:AlternateContent>
        <mc:AlternateContent xmlns:mc="http://schemas.openxmlformats.org/markup-compatibility/2006">
          <mc:Choice Requires="x14">
            <control shapeId="1162" r:id="rId6" name="Check Box 138">
              <controlPr defaultSize="0" autoFill="0" autoLine="0" autoPict="0">
                <anchor moveWithCells="1">
                  <from>
                    <xdr:col>2</xdr:col>
                    <xdr:colOff>0</xdr:colOff>
                    <xdr:row>11</xdr:row>
                    <xdr:rowOff>121920</xdr:rowOff>
                  </from>
                  <to>
                    <xdr:col>2</xdr:col>
                    <xdr:colOff>228600</xdr:colOff>
                    <xdr:row>12</xdr:row>
                    <xdr:rowOff>228600</xdr:rowOff>
                  </to>
                </anchor>
              </controlPr>
            </control>
          </mc:Choice>
        </mc:AlternateContent>
        <mc:AlternateContent xmlns:mc="http://schemas.openxmlformats.org/markup-compatibility/2006">
          <mc:Choice Requires="x14">
            <control shapeId="1163" r:id="rId7" name="Check Box 139">
              <controlPr defaultSize="0" autoFill="0" autoLine="0" autoPict="0">
                <anchor moveWithCells="1">
                  <from>
                    <xdr:col>4</xdr:col>
                    <xdr:colOff>0</xdr:colOff>
                    <xdr:row>11</xdr:row>
                    <xdr:rowOff>137160</xdr:rowOff>
                  </from>
                  <to>
                    <xdr:col>4</xdr:col>
                    <xdr:colOff>228600</xdr:colOff>
                    <xdr:row>12</xdr:row>
                    <xdr:rowOff>228600</xdr:rowOff>
                  </to>
                </anchor>
              </controlPr>
            </control>
          </mc:Choice>
        </mc:AlternateContent>
      </controls>
    </mc:Choice>
  </mc:AlternateContent>
  <tableParts count="1">
    <tablePart r:id="rId8"/>
  </tableParts>
  <extLst>
    <ext xmlns:x14="http://schemas.microsoft.com/office/spreadsheetml/2009/9/main" uri="{78C0D931-6437-407d-A8EE-F0AAD7539E65}">
      <x14:conditionalFormattings>
        <x14:conditionalFormatting xmlns:xm="http://schemas.microsoft.com/office/excel/2006/main">
          <x14:cfRule type="expression" priority="85" id="{5DB02945-8069-4049-BBE5-ED4C719742C4}">
            <xm:f>$G$46&gt;'Rainfall &amp; Maintenance'!$C$40</xm:f>
            <x14:dxf>
              <font>
                <color rgb="FFFF0000"/>
              </font>
              <fill>
                <patternFill>
                  <bgColor theme="4" tint="0.79998168889431442"/>
                </patternFill>
              </fill>
            </x14:dxf>
          </x14:cfRule>
          <xm:sqref>H54:K54</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92D050"/>
  </sheetPr>
  <dimension ref="A1:AD98"/>
  <sheetViews>
    <sheetView zoomScaleNormal="100" workbookViewId="0">
      <selection activeCell="L11" sqref="L11"/>
    </sheetView>
  </sheetViews>
  <sheetFormatPr defaultColWidth="8.90625" defaultRowHeight="13.2" x14ac:dyDescent="0.25"/>
  <cols>
    <col min="1" max="1" width="20.08984375" style="48" customWidth="1"/>
    <col min="2" max="2" width="17.1796875" style="48" customWidth="1"/>
    <col min="3" max="3" width="18.36328125" style="48" customWidth="1"/>
    <col min="4" max="4" width="8.26953125" style="48" customWidth="1"/>
    <col min="5" max="6" width="9.90625" style="48" customWidth="1"/>
    <col min="7" max="7" width="14.1796875" style="48" customWidth="1"/>
    <col min="8" max="10" width="9.90625" style="48" customWidth="1"/>
    <col min="11" max="11" width="21.54296875" style="48" customWidth="1"/>
    <col min="12" max="12" width="16.453125" style="48" customWidth="1"/>
    <col min="13" max="13" width="21.453125" style="48" customWidth="1"/>
    <col min="14" max="14" width="8.90625" style="48"/>
    <col min="15" max="16" width="9.1796875" style="48" customWidth="1"/>
    <col min="17" max="17" width="20.1796875" style="48" customWidth="1"/>
    <col min="18" max="18" width="18.90625" style="48" customWidth="1"/>
    <col min="19" max="19" width="17.81640625" style="48" customWidth="1"/>
    <col min="20" max="20" width="44.1796875" style="48" bestFit="1" customWidth="1"/>
    <col min="21" max="16384" width="8.90625" style="48"/>
  </cols>
  <sheetData>
    <row r="1" spans="1:13" s="45" customFormat="1" ht="48.6" customHeight="1" thickTop="1" x14ac:dyDescent="0.25">
      <c r="A1" s="354" t="s">
        <v>244</v>
      </c>
      <c r="B1" s="355"/>
      <c r="C1" s="355"/>
      <c r="D1" s="355"/>
      <c r="E1" s="355"/>
      <c r="F1" s="355"/>
      <c r="G1" s="355"/>
      <c r="H1" s="355"/>
      <c r="I1" s="355"/>
      <c r="J1" s="355"/>
      <c r="K1" s="355"/>
      <c r="L1" s="355"/>
      <c r="M1" s="356"/>
    </row>
    <row r="2" spans="1:13" x14ac:dyDescent="0.25">
      <c r="A2" s="65" t="s">
        <v>97</v>
      </c>
      <c r="M2" s="113"/>
    </row>
    <row r="3" spans="1:13" s="115" customFormat="1" ht="17.25" customHeight="1" x14ac:dyDescent="0.25">
      <c r="A3" s="114" t="s">
        <v>89</v>
      </c>
      <c r="M3" s="116"/>
    </row>
    <row r="4" spans="1:13" x14ac:dyDescent="0.25">
      <c r="A4" s="112"/>
      <c r="D4" s="50"/>
      <c r="E4" s="50"/>
      <c r="F4" s="50"/>
      <c r="G4" s="50"/>
      <c r="H4" s="50"/>
      <c r="I4" s="50"/>
      <c r="J4" s="50"/>
      <c r="K4" s="50"/>
      <c r="L4" s="50"/>
      <c r="M4" s="117"/>
    </row>
    <row r="5" spans="1:13" ht="15.45" customHeight="1" thickBot="1" x14ac:dyDescent="0.3">
      <c r="A5" s="166" t="s">
        <v>76</v>
      </c>
      <c r="B5" s="167"/>
      <c r="C5" s="168" t="str">
        <f>_xlfn.XLOOKUP(C6,Table3[Locations],Table3[Municipality/City/Region])</f>
        <v>Peel</v>
      </c>
      <c r="D5" s="50"/>
      <c r="E5" s="50"/>
      <c r="F5" s="50"/>
      <c r="G5" s="50"/>
      <c r="H5" s="50"/>
      <c r="I5" s="50"/>
      <c r="J5" s="50"/>
      <c r="K5" s="139" t="s">
        <v>126</v>
      </c>
      <c r="L5" s="140"/>
      <c r="M5" s="117"/>
    </row>
    <row r="6" spans="1:13" ht="15" customHeight="1" thickBot="1" x14ac:dyDescent="0.3">
      <c r="A6" s="169" t="s">
        <v>125</v>
      </c>
      <c r="B6" s="111"/>
      <c r="C6" s="170" t="s">
        <v>111</v>
      </c>
      <c r="D6" s="50"/>
      <c r="E6" s="50"/>
      <c r="F6" s="50"/>
      <c r="G6" s="50"/>
      <c r="H6" s="50"/>
      <c r="I6" s="50"/>
      <c r="J6" s="50"/>
      <c r="K6" s="138" t="s">
        <v>76</v>
      </c>
      <c r="L6" s="153"/>
      <c r="M6" s="117"/>
    </row>
    <row r="7" spans="1:13" ht="13.8" thickBot="1" x14ac:dyDescent="0.3">
      <c r="A7" s="169" t="s">
        <v>81</v>
      </c>
      <c r="B7" s="111"/>
      <c r="C7" s="309" t="str">
        <f>_xlfn.XLOOKUP(C6,Table3[Locations],Table3[Data Time Range])</f>
        <v>1980-2005</v>
      </c>
      <c r="D7" s="50"/>
      <c r="E7" s="50"/>
      <c r="F7" s="50"/>
      <c r="G7" s="50"/>
      <c r="H7" s="50"/>
      <c r="I7" s="50"/>
      <c r="J7" s="50"/>
      <c r="K7" s="138" t="s">
        <v>81</v>
      </c>
      <c r="L7" s="153"/>
      <c r="M7" s="117"/>
    </row>
    <row r="8" spans="1:13" ht="13.8" thickBot="1" x14ac:dyDescent="0.3">
      <c r="A8" s="169" t="s">
        <v>80</v>
      </c>
      <c r="B8" s="111"/>
      <c r="C8" s="309" t="str">
        <f>_xlfn.XLOOKUP(C6,Table3[Locations],Table3[Data Time Interval])</f>
        <v>Hourly</v>
      </c>
      <c r="D8" s="50"/>
      <c r="E8" s="50"/>
      <c r="F8" s="50"/>
      <c r="G8" s="50"/>
      <c r="H8" s="50"/>
      <c r="I8" s="50"/>
      <c r="J8" s="50"/>
      <c r="K8" s="138" t="s">
        <v>80</v>
      </c>
      <c r="L8" s="153"/>
      <c r="M8" s="117"/>
    </row>
    <row r="9" spans="1:13" ht="13.8" thickBot="1" x14ac:dyDescent="0.3">
      <c r="A9" s="169" t="s">
        <v>91</v>
      </c>
      <c r="B9" s="111"/>
      <c r="C9" s="309" t="str">
        <f>_xlfn.XLOOKUP(C6,Table3[Locations],Table3[[Analysis Interval ]])</f>
        <v>Hourly</v>
      </c>
      <c r="D9" s="50"/>
      <c r="E9" s="50"/>
      <c r="F9" s="50"/>
      <c r="G9" s="50"/>
      <c r="H9" s="50"/>
      <c r="I9" s="50"/>
      <c r="J9" s="50"/>
      <c r="K9" s="138" t="s">
        <v>91</v>
      </c>
      <c r="L9" s="153"/>
      <c r="M9" s="117"/>
    </row>
    <row r="10" spans="1:13" ht="13.8" thickBot="1" x14ac:dyDescent="0.3">
      <c r="A10" s="171" t="s">
        <v>127</v>
      </c>
      <c r="C10" s="309">
        <f>_xlfn.XLOOKUP(C6,Table3[Locations],Table3[Number of values included])</f>
        <v>2766</v>
      </c>
      <c r="D10" s="50"/>
      <c r="E10" s="50"/>
      <c r="F10" s="50"/>
      <c r="G10" s="50"/>
      <c r="H10" s="50"/>
      <c r="I10" s="50"/>
      <c r="J10" s="50"/>
      <c r="K10" s="138" t="s">
        <v>127</v>
      </c>
      <c r="L10" s="153"/>
      <c r="M10" s="117"/>
    </row>
    <row r="11" spans="1:13" ht="15" customHeight="1" x14ac:dyDescent="0.25">
      <c r="A11" s="172" t="s">
        <v>140</v>
      </c>
      <c r="B11" s="173"/>
      <c r="C11" s="310" t="str">
        <f>_xlfn.XLOOKUP(C6,Table3[Locations],Table3[Hourly rainfall intensity data included])</f>
        <v>&gt; 1mm</v>
      </c>
      <c r="D11" s="50"/>
      <c r="E11" s="50"/>
      <c r="F11" s="50"/>
      <c r="G11" s="50"/>
      <c r="H11" s="50"/>
      <c r="I11" s="50"/>
      <c r="J11" s="50"/>
      <c r="K11" s="137" t="s">
        <v>141</v>
      </c>
      <c r="L11" s="320"/>
      <c r="M11" s="117"/>
    </row>
    <row r="12" spans="1:13" ht="14.7" customHeight="1" x14ac:dyDescent="0.25">
      <c r="A12" s="112"/>
      <c r="D12" s="50"/>
      <c r="E12" s="50"/>
      <c r="F12" s="50"/>
      <c r="G12" s="50"/>
      <c r="H12" s="50"/>
      <c r="I12" s="50"/>
      <c r="J12" s="50"/>
      <c r="K12" s="357" t="s">
        <v>138</v>
      </c>
      <c r="L12" s="357" t="s">
        <v>90</v>
      </c>
      <c r="M12" s="117"/>
    </row>
    <row r="13" spans="1:13" ht="27" thickBot="1" x14ac:dyDescent="0.3">
      <c r="A13" s="157" t="s">
        <v>177</v>
      </c>
      <c r="B13" s="158" t="s">
        <v>139</v>
      </c>
      <c r="C13" s="159" t="s">
        <v>90</v>
      </c>
      <c r="D13" s="50"/>
      <c r="E13" s="50"/>
      <c r="F13" s="50"/>
      <c r="G13" s="50"/>
      <c r="H13" s="50"/>
      <c r="I13" s="50"/>
      <c r="J13" s="50"/>
      <c r="K13" s="357"/>
      <c r="L13" s="357"/>
      <c r="M13" s="117"/>
    </row>
    <row r="14" spans="1:13" ht="13.8" thickBot="1" x14ac:dyDescent="0.3">
      <c r="A14" s="160">
        <v>0</v>
      </c>
      <c r="B14" s="110">
        <v>0.05</v>
      </c>
      <c r="C14" s="161">
        <f>_xlfn.XLOOKUP($C$6,Table3[Locations],Table3[0%])</f>
        <v>0</v>
      </c>
      <c r="D14" s="50"/>
      <c r="E14" s="50"/>
      <c r="F14" s="50"/>
      <c r="G14" s="50"/>
      <c r="H14" s="50"/>
      <c r="I14" s="50"/>
      <c r="J14" s="50"/>
      <c r="K14" s="144">
        <v>0</v>
      </c>
      <c r="L14" s="154">
        <v>0</v>
      </c>
      <c r="M14" s="117"/>
    </row>
    <row r="15" spans="1:13" ht="13.8" thickBot="1" x14ac:dyDescent="0.3">
      <c r="A15" s="160">
        <f>A14+B15</f>
        <v>0.05</v>
      </c>
      <c r="B15" s="110">
        <v>0.05</v>
      </c>
      <c r="C15" s="162">
        <f>_xlfn.XLOOKUP($C$6,Table3[Locations],Table3[5%])</f>
        <v>1.3</v>
      </c>
      <c r="D15" s="50"/>
      <c r="E15" s="50"/>
      <c r="F15" s="50"/>
      <c r="G15" s="50"/>
      <c r="H15" s="50"/>
      <c r="I15" s="50"/>
      <c r="J15" s="50"/>
      <c r="K15" s="144">
        <v>0.05</v>
      </c>
      <c r="L15" s="312"/>
      <c r="M15" s="117"/>
    </row>
    <row r="16" spans="1:13" ht="13.8" thickBot="1" x14ac:dyDescent="0.3">
      <c r="A16" s="160">
        <f t="shared" ref="A16:A34" si="0">A15+B16</f>
        <v>0.1</v>
      </c>
      <c r="B16" s="110">
        <v>0.05</v>
      </c>
      <c r="C16" s="162">
        <f>_xlfn.XLOOKUP($C$6,Table3[Locations],Table3[10%])</f>
        <v>1.5</v>
      </c>
      <c r="D16" s="50"/>
      <c r="E16" s="50"/>
      <c r="F16" s="50"/>
      <c r="G16" s="50"/>
      <c r="H16" s="50"/>
      <c r="I16" s="50"/>
      <c r="J16" s="50"/>
      <c r="K16" s="142">
        <v>0.1</v>
      </c>
      <c r="L16" s="153"/>
      <c r="M16" s="117"/>
    </row>
    <row r="17" spans="1:13" ht="13.8" thickBot="1" x14ac:dyDescent="0.3">
      <c r="A17" s="160">
        <f t="shared" si="0"/>
        <v>0.15000000000000002</v>
      </c>
      <c r="B17" s="110">
        <v>0.05</v>
      </c>
      <c r="C17" s="162">
        <f>_xlfn.XLOOKUP($C$6,Table3[Locations],Table3[15%])</f>
        <v>1.7</v>
      </c>
      <c r="D17" s="50"/>
      <c r="E17" s="50"/>
      <c r="F17" s="50"/>
      <c r="G17" s="50"/>
      <c r="H17" s="50"/>
      <c r="I17" s="50"/>
      <c r="J17" s="50"/>
      <c r="K17" s="142">
        <v>0.15</v>
      </c>
      <c r="L17" s="153"/>
      <c r="M17" s="117"/>
    </row>
    <row r="18" spans="1:13" ht="13.8" thickBot="1" x14ac:dyDescent="0.3">
      <c r="A18" s="160">
        <f t="shared" si="0"/>
        <v>0.2</v>
      </c>
      <c r="B18" s="110">
        <v>0.05</v>
      </c>
      <c r="C18" s="162">
        <f>_xlfn.XLOOKUP($C$6,Table3[Locations],Table3[20%])</f>
        <v>2</v>
      </c>
      <c r="D18" s="50"/>
      <c r="E18" s="50"/>
      <c r="F18" s="50"/>
      <c r="G18" s="50"/>
      <c r="H18" s="50"/>
      <c r="I18" s="50"/>
      <c r="J18" s="50"/>
      <c r="K18" s="142">
        <v>0.2</v>
      </c>
      <c r="L18" s="153"/>
      <c r="M18" s="117"/>
    </row>
    <row r="19" spans="1:13" ht="13.8" thickBot="1" x14ac:dyDescent="0.3">
      <c r="A19" s="160">
        <f t="shared" si="0"/>
        <v>0.25</v>
      </c>
      <c r="B19" s="110">
        <v>0.05</v>
      </c>
      <c r="C19" s="162">
        <f>_xlfn.XLOOKUP($C$6,Table3[Locations],Table3[25%])</f>
        <v>2.2999999999999998</v>
      </c>
      <c r="D19" s="50"/>
      <c r="E19" s="50"/>
      <c r="F19" s="50"/>
      <c r="G19" s="50"/>
      <c r="H19" s="50"/>
      <c r="I19" s="50"/>
      <c r="J19" s="50"/>
      <c r="K19" s="142">
        <v>0.25</v>
      </c>
      <c r="L19" s="153"/>
      <c r="M19" s="117"/>
    </row>
    <row r="20" spans="1:13" ht="13.8" thickBot="1" x14ac:dyDescent="0.3">
      <c r="A20" s="160">
        <f t="shared" si="0"/>
        <v>0.3</v>
      </c>
      <c r="B20" s="110">
        <v>0.05</v>
      </c>
      <c r="C20" s="162">
        <f>_xlfn.XLOOKUP($C$6,Table3[Locations],Table3[30%])</f>
        <v>2.6</v>
      </c>
      <c r="D20" s="50"/>
      <c r="E20" s="50"/>
      <c r="F20" s="50"/>
      <c r="G20" s="50"/>
      <c r="H20" s="50"/>
      <c r="I20" s="50"/>
      <c r="J20" s="50"/>
      <c r="K20" s="142">
        <v>0.3</v>
      </c>
      <c r="L20" s="153"/>
      <c r="M20" s="117"/>
    </row>
    <row r="21" spans="1:13" ht="13.8" thickBot="1" x14ac:dyDescent="0.3">
      <c r="A21" s="160">
        <f t="shared" si="0"/>
        <v>0.35</v>
      </c>
      <c r="B21" s="110">
        <v>0.05</v>
      </c>
      <c r="C21" s="162">
        <f>_xlfn.XLOOKUP($C$6,Table3[Locations],Table3[35%])</f>
        <v>2.9</v>
      </c>
      <c r="D21" s="50"/>
      <c r="E21" s="50"/>
      <c r="F21" s="50"/>
      <c r="G21" s="50"/>
      <c r="H21" s="50"/>
      <c r="I21" s="50"/>
      <c r="J21" s="50"/>
      <c r="K21" s="142">
        <v>0.35</v>
      </c>
      <c r="L21" s="153"/>
      <c r="M21" s="117"/>
    </row>
    <row r="22" spans="1:13" ht="13.8" thickBot="1" x14ac:dyDescent="0.3">
      <c r="A22" s="160">
        <f t="shared" si="0"/>
        <v>0.39999999999999997</v>
      </c>
      <c r="B22" s="110">
        <v>0.05</v>
      </c>
      <c r="C22" s="162">
        <f>_xlfn.XLOOKUP($C$6,Table3[Locations],Table3[40%])</f>
        <v>3.3</v>
      </c>
      <c r="D22" s="50"/>
      <c r="E22" s="50"/>
      <c r="F22" s="50"/>
      <c r="G22" s="50"/>
      <c r="H22" s="50"/>
      <c r="I22" s="50"/>
      <c r="J22" s="50"/>
      <c r="K22" s="142">
        <v>0.4</v>
      </c>
      <c r="L22" s="153"/>
      <c r="M22" s="117"/>
    </row>
    <row r="23" spans="1:13" ht="13.8" thickBot="1" x14ac:dyDescent="0.3">
      <c r="A23" s="160">
        <f t="shared" si="0"/>
        <v>0.44999999999999996</v>
      </c>
      <c r="B23" s="110">
        <v>0.05</v>
      </c>
      <c r="C23" s="162">
        <f>_xlfn.XLOOKUP($C$6,Table3[Locations],Table3[45%])</f>
        <v>3.8</v>
      </c>
      <c r="D23" s="50"/>
      <c r="E23" s="50"/>
      <c r="F23" s="50"/>
      <c r="G23" s="50"/>
      <c r="H23" s="50"/>
      <c r="I23" s="50"/>
      <c r="J23" s="50"/>
      <c r="K23" s="142">
        <v>0.45</v>
      </c>
      <c r="L23" s="153"/>
      <c r="M23" s="117"/>
    </row>
    <row r="24" spans="1:13" ht="13.8" thickBot="1" x14ac:dyDescent="0.3">
      <c r="A24" s="160">
        <f t="shared" si="0"/>
        <v>0.49999999999999994</v>
      </c>
      <c r="B24" s="110">
        <v>0.05</v>
      </c>
      <c r="C24" s="162">
        <f>_xlfn.XLOOKUP($C$6,Table3[Locations],Table3[50%])</f>
        <v>4.2</v>
      </c>
      <c r="D24" s="50"/>
      <c r="E24" s="50"/>
      <c r="F24" s="50"/>
      <c r="G24" s="50"/>
      <c r="H24" s="50"/>
      <c r="I24" s="50"/>
      <c r="J24" s="50"/>
      <c r="K24" s="142">
        <v>0.5</v>
      </c>
      <c r="L24" s="153"/>
      <c r="M24" s="117"/>
    </row>
    <row r="25" spans="1:13" ht="13.8" thickBot="1" x14ac:dyDescent="0.3">
      <c r="A25" s="160">
        <f t="shared" si="0"/>
        <v>0.54999999999999993</v>
      </c>
      <c r="B25" s="110">
        <v>0.05</v>
      </c>
      <c r="C25" s="162">
        <f>_xlfn.XLOOKUP($C$6,Table3[Locations],Table3[55%])</f>
        <v>4.8</v>
      </c>
      <c r="D25" s="50"/>
      <c r="E25" s="50"/>
      <c r="F25" s="50"/>
      <c r="G25" s="50"/>
      <c r="H25" s="50"/>
      <c r="I25" s="50"/>
      <c r="J25" s="50"/>
      <c r="K25" s="142">
        <v>0.55000000000000004</v>
      </c>
      <c r="L25" s="153"/>
      <c r="M25" s="117"/>
    </row>
    <row r="26" spans="1:13" ht="13.8" thickBot="1" x14ac:dyDescent="0.3">
      <c r="A26" s="160">
        <f t="shared" si="0"/>
        <v>0.6</v>
      </c>
      <c r="B26" s="110">
        <v>0.05</v>
      </c>
      <c r="C26" s="162">
        <f>_xlfn.XLOOKUP($C$6,Table3[Locations],Table3[60%])</f>
        <v>5.4</v>
      </c>
      <c r="D26" s="50"/>
      <c r="E26" s="50"/>
      <c r="F26" s="50"/>
      <c r="G26" s="50"/>
      <c r="H26" s="50"/>
      <c r="I26" s="50"/>
      <c r="J26" s="50"/>
      <c r="K26" s="142">
        <v>0.6</v>
      </c>
      <c r="L26" s="153"/>
      <c r="M26" s="117"/>
    </row>
    <row r="27" spans="1:13" ht="13.8" thickBot="1" x14ac:dyDescent="0.3">
      <c r="A27" s="160">
        <f t="shared" si="0"/>
        <v>0.65</v>
      </c>
      <c r="B27" s="110">
        <v>0.05</v>
      </c>
      <c r="C27" s="162">
        <f>_xlfn.XLOOKUP($C$6,Table3[Locations],Table3[65%])</f>
        <v>6.1</v>
      </c>
      <c r="D27" s="50"/>
      <c r="E27" s="50"/>
      <c r="F27" s="50"/>
      <c r="G27" s="50"/>
      <c r="H27" s="50"/>
      <c r="I27" s="50"/>
      <c r="J27" s="50"/>
      <c r="K27" s="142">
        <v>0.65</v>
      </c>
      <c r="L27" s="153"/>
      <c r="M27" s="117"/>
    </row>
    <row r="28" spans="1:13" ht="13.8" thickBot="1" x14ac:dyDescent="0.3">
      <c r="A28" s="160">
        <f t="shared" si="0"/>
        <v>0.70000000000000007</v>
      </c>
      <c r="B28" s="110">
        <v>0.05</v>
      </c>
      <c r="C28" s="162">
        <f>_xlfn.XLOOKUP($C$6,Table3[Locations],Table3[70%])</f>
        <v>7.1</v>
      </c>
      <c r="D28" s="50"/>
      <c r="E28" s="50"/>
      <c r="F28" s="50"/>
      <c r="G28" s="50"/>
      <c r="H28" s="50"/>
      <c r="I28" s="50"/>
      <c r="J28" s="50"/>
      <c r="K28" s="142">
        <v>0.7</v>
      </c>
      <c r="L28" s="153"/>
      <c r="M28" s="117"/>
    </row>
    <row r="29" spans="1:13" ht="13.8" thickBot="1" x14ac:dyDescent="0.3">
      <c r="A29" s="160">
        <f t="shared" si="0"/>
        <v>0.75000000000000011</v>
      </c>
      <c r="B29" s="110">
        <v>0.05</v>
      </c>
      <c r="C29" s="162">
        <f>_xlfn.XLOOKUP($C$6,Table3[Locations],Table3[75%])</f>
        <v>8.1999999999999993</v>
      </c>
      <c r="D29" s="50"/>
      <c r="E29" s="50"/>
      <c r="F29" s="50"/>
      <c r="G29" s="50"/>
      <c r="H29" s="50"/>
      <c r="I29" s="50"/>
      <c r="J29" s="50"/>
      <c r="K29" s="142">
        <v>0.75</v>
      </c>
      <c r="L29" s="153"/>
      <c r="M29" s="117"/>
    </row>
    <row r="30" spans="1:13" ht="13.8" thickBot="1" x14ac:dyDescent="0.3">
      <c r="A30" s="160">
        <f t="shared" si="0"/>
        <v>0.80000000000000016</v>
      </c>
      <c r="B30" s="110">
        <v>0.05</v>
      </c>
      <c r="C30" s="162">
        <f>_xlfn.XLOOKUP($C$6,Table3[Locations],Table3[80%])</f>
        <v>10.199999999999999</v>
      </c>
      <c r="D30" s="50"/>
      <c r="E30" s="50"/>
      <c r="F30" s="50"/>
      <c r="G30" s="50"/>
      <c r="H30" s="50"/>
      <c r="I30" s="50"/>
      <c r="J30" s="50"/>
      <c r="K30" s="142">
        <v>0.8</v>
      </c>
      <c r="L30" s="153"/>
      <c r="M30" s="117"/>
    </row>
    <row r="31" spans="1:13" ht="13.8" thickBot="1" x14ac:dyDescent="0.3">
      <c r="A31" s="160">
        <f t="shared" si="0"/>
        <v>0.8500000000000002</v>
      </c>
      <c r="B31" s="110">
        <v>0.05</v>
      </c>
      <c r="C31" s="162">
        <f>_xlfn.XLOOKUP($C$6,Table3[Locations],Table3[85%])</f>
        <v>12.6</v>
      </c>
      <c r="D31" s="50"/>
      <c r="E31" s="50"/>
      <c r="F31" s="50"/>
      <c r="G31" s="50"/>
      <c r="H31" s="50"/>
      <c r="I31" s="50"/>
      <c r="J31" s="50"/>
      <c r="K31" s="142">
        <v>0.85</v>
      </c>
      <c r="L31" s="153"/>
      <c r="M31" s="117"/>
    </row>
    <row r="32" spans="1:13" ht="13.8" thickBot="1" x14ac:dyDescent="0.3">
      <c r="A32" s="160">
        <f t="shared" si="0"/>
        <v>0.90000000000000024</v>
      </c>
      <c r="B32" s="110">
        <v>0.05</v>
      </c>
      <c r="C32" s="162">
        <f>_xlfn.XLOOKUP($C$6,Table3[Locations],Table3[90%])</f>
        <v>16.3</v>
      </c>
      <c r="D32" s="50"/>
      <c r="E32" s="50"/>
      <c r="F32" s="50"/>
      <c r="G32" s="50"/>
      <c r="H32" s="50"/>
      <c r="I32" s="50"/>
      <c r="J32" s="50"/>
      <c r="K32" s="142">
        <v>0.9</v>
      </c>
      <c r="L32" s="153"/>
      <c r="M32" s="117"/>
    </row>
    <row r="33" spans="1:13" ht="13.8" thickBot="1" x14ac:dyDescent="0.3">
      <c r="A33" s="160">
        <f t="shared" si="0"/>
        <v>0.95000000000000029</v>
      </c>
      <c r="B33" s="110">
        <v>0.05</v>
      </c>
      <c r="C33" s="162">
        <f>_xlfn.XLOOKUP($C$6,Table3[Locations],Table3[95%])</f>
        <v>23.1</v>
      </c>
      <c r="D33" s="50"/>
      <c r="E33" s="50"/>
      <c r="F33" s="50"/>
      <c r="G33" s="50"/>
      <c r="H33" s="50"/>
      <c r="I33" s="50"/>
      <c r="J33" s="50"/>
      <c r="K33" s="142">
        <v>0.95</v>
      </c>
      <c r="L33" s="153"/>
      <c r="M33" s="117"/>
    </row>
    <row r="34" spans="1:13" x14ac:dyDescent="0.25">
      <c r="A34" s="163">
        <f t="shared" si="0"/>
        <v>1.0000000000000002</v>
      </c>
      <c r="B34" s="164">
        <v>0.05</v>
      </c>
      <c r="C34" s="165">
        <f>_xlfn.XLOOKUP($C$6,Table3[Locations],Table3[100%])</f>
        <v>35.200000000000003</v>
      </c>
      <c r="D34" s="50"/>
      <c r="E34" s="50"/>
      <c r="F34" s="50"/>
      <c r="G34" s="50"/>
      <c r="H34" s="50"/>
      <c r="I34" s="50"/>
      <c r="J34" s="50"/>
      <c r="K34" s="142">
        <v>1</v>
      </c>
      <c r="L34" s="153"/>
      <c r="M34" s="117"/>
    </row>
    <row r="35" spans="1:13" x14ac:dyDescent="0.25">
      <c r="A35" s="112"/>
      <c r="D35" s="50"/>
      <c r="E35" s="50"/>
      <c r="F35" s="50"/>
      <c r="G35" s="50"/>
      <c r="H35" s="50"/>
      <c r="I35" s="50"/>
      <c r="J35" s="50"/>
      <c r="M35" s="117"/>
    </row>
    <row r="36" spans="1:13" ht="13.8" thickBot="1" x14ac:dyDescent="0.3">
      <c r="A36" s="112" t="s">
        <v>87</v>
      </c>
      <c r="C36" s="150">
        <f>759/1000</f>
        <v>0.75900000000000001</v>
      </c>
      <c r="D36" s="118" t="s">
        <v>82</v>
      </c>
      <c r="E36" s="50"/>
      <c r="F36" s="50"/>
      <c r="G36" s="50"/>
      <c r="H36" s="50"/>
      <c r="I36" s="50"/>
      <c r="J36" s="50"/>
      <c r="K36" s="50"/>
      <c r="L36" s="50"/>
      <c r="M36" s="117"/>
    </row>
    <row r="37" spans="1:13" x14ac:dyDescent="0.25">
      <c r="A37" s="112"/>
      <c r="C37" s="119"/>
      <c r="D37" s="118"/>
      <c r="E37" s="50"/>
      <c r="F37" s="50"/>
      <c r="G37" s="50"/>
      <c r="H37" s="50"/>
      <c r="I37" s="50"/>
      <c r="J37" s="50"/>
      <c r="K37" s="50"/>
      <c r="L37" s="50"/>
      <c r="M37" s="117"/>
    </row>
    <row r="38" spans="1:13" s="115" customFormat="1" ht="18" customHeight="1" x14ac:dyDescent="0.25">
      <c r="A38" s="114" t="s">
        <v>254</v>
      </c>
      <c r="C38" s="120"/>
      <c r="D38" s="121"/>
      <c r="M38" s="116"/>
    </row>
    <row r="39" spans="1:13" x14ac:dyDescent="0.25">
      <c r="A39" s="112"/>
      <c r="C39" s="119"/>
      <c r="D39" s="122"/>
      <c r="M39" s="113"/>
    </row>
    <row r="40" spans="1:13" ht="13.8" thickBot="1" x14ac:dyDescent="0.3">
      <c r="A40" s="112" t="s">
        <v>117</v>
      </c>
      <c r="C40" s="150">
        <v>30</v>
      </c>
      <c r="D40" s="122" t="s">
        <v>185</v>
      </c>
      <c r="M40" s="113"/>
    </row>
    <row r="41" spans="1:13" ht="13.8" thickBot="1" x14ac:dyDescent="0.3">
      <c r="A41" s="112" t="s">
        <v>255</v>
      </c>
      <c r="C41" s="151">
        <v>225</v>
      </c>
      <c r="D41" s="122" t="s">
        <v>130</v>
      </c>
      <c r="M41" s="113"/>
    </row>
    <row r="42" spans="1:13" ht="15" thickBot="1" x14ac:dyDescent="0.3">
      <c r="A42" s="112" t="s">
        <v>131</v>
      </c>
      <c r="C42" s="151">
        <v>1230</v>
      </c>
      <c r="D42" s="122" t="s">
        <v>79</v>
      </c>
      <c r="M42" s="113"/>
    </row>
    <row r="43" spans="1:13" ht="13.8" thickBot="1" x14ac:dyDescent="0.3">
      <c r="A43" s="112" t="s">
        <v>182</v>
      </c>
      <c r="C43" s="291">
        <v>1</v>
      </c>
      <c r="D43" s="122"/>
      <c r="M43" s="113"/>
    </row>
    <row r="44" spans="1:13" ht="13.8" thickBot="1" x14ac:dyDescent="0.3">
      <c r="A44" s="112" t="s">
        <v>184</v>
      </c>
      <c r="C44" s="292">
        <v>1.5</v>
      </c>
      <c r="D44" s="122" t="s">
        <v>183</v>
      </c>
      <c r="M44" s="113"/>
    </row>
    <row r="45" spans="1:13" ht="13.8" thickBot="1" x14ac:dyDescent="0.3">
      <c r="A45" s="112" t="s">
        <v>271</v>
      </c>
      <c r="C45" s="151">
        <f>C43*C44</f>
        <v>1.5</v>
      </c>
      <c r="D45" s="122"/>
      <c r="M45" s="113"/>
    </row>
    <row r="46" spans="1:13" ht="13.8" thickBot="1" x14ac:dyDescent="0.3">
      <c r="A46" s="123"/>
      <c r="B46" s="124"/>
      <c r="C46" s="124"/>
      <c r="D46" s="124"/>
      <c r="E46" s="124"/>
      <c r="F46" s="124"/>
      <c r="G46" s="124"/>
      <c r="H46" s="124"/>
      <c r="I46" s="124"/>
      <c r="J46" s="124"/>
      <c r="K46" s="124"/>
      <c r="L46" s="124"/>
      <c r="M46" s="125"/>
    </row>
    <row r="47" spans="1:13" ht="13.8" thickTop="1" x14ac:dyDescent="0.25"/>
    <row r="49" spans="1:30" hidden="1" x14ac:dyDescent="0.25"/>
    <row r="50" spans="1:30" hidden="1" x14ac:dyDescent="0.25">
      <c r="A50" s="48" t="s">
        <v>119</v>
      </c>
      <c r="B50" s="48" t="s">
        <v>76</v>
      </c>
      <c r="C50" s="48" t="s">
        <v>81</v>
      </c>
      <c r="D50" s="152" t="s">
        <v>80</v>
      </c>
      <c r="E50" s="152" t="s">
        <v>91</v>
      </c>
      <c r="F50" s="152" t="s">
        <v>127</v>
      </c>
      <c r="G50" s="48" t="s">
        <v>140</v>
      </c>
      <c r="H50" s="152" t="s">
        <v>155</v>
      </c>
      <c r="I50" s="152" t="s">
        <v>156</v>
      </c>
      <c r="J50" s="152" t="s">
        <v>157</v>
      </c>
      <c r="K50" s="152" t="s">
        <v>158</v>
      </c>
      <c r="L50" s="152" t="s">
        <v>159</v>
      </c>
      <c r="M50" s="152" t="s">
        <v>160</v>
      </c>
      <c r="N50" s="152" t="s">
        <v>161</v>
      </c>
      <c r="O50" s="152" t="s">
        <v>162</v>
      </c>
      <c r="P50" s="152" t="s">
        <v>163</v>
      </c>
      <c r="Q50" s="152" t="s">
        <v>164</v>
      </c>
      <c r="R50" s="152" t="s">
        <v>165</v>
      </c>
      <c r="S50" s="152" t="s">
        <v>166</v>
      </c>
      <c r="T50" s="152" t="s">
        <v>167</v>
      </c>
      <c r="U50" s="152" t="s">
        <v>168</v>
      </c>
      <c r="V50" s="152" t="s">
        <v>169</v>
      </c>
      <c r="W50" s="152" t="s">
        <v>170</v>
      </c>
      <c r="X50" s="152" t="s">
        <v>171</v>
      </c>
      <c r="Y50" s="152" t="s">
        <v>172</v>
      </c>
      <c r="Z50" s="152" t="s">
        <v>173</v>
      </c>
      <c r="AA50" s="152" t="s">
        <v>174</v>
      </c>
      <c r="AB50" s="152" t="s">
        <v>175</v>
      </c>
      <c r="AC50" s="152" t="s">
        <v>8</v>
      </c>
      <c r="AD50" s="152" t="s">
        <v>9</v>
      </c>
    </row>
    <row r="51" spans="1:30" hidden="1" x14ac:dyDescent="0.25">
      <c r="A51" s="48" t="s">
        <v>176</v>
      </c>
      <c r="B51" s="48" t="str">
        <f>IF(L6="","Empty",L6)</f>
        <v>Empty</v>
      </c>
      <c r="C51" s="48" t="str">
        <f>IF(L7="","Empty",L7)</f>
        <v>Empty</v>
      </c>
      <c r="D51" s="152" t="str">
        <f>IF(L8="","Empty",L8)</f>
        <v>Empty</v>
      </c>
      <c r="E51" s="152" t="str">
        <f>IF(L9="","Empty",L9)</f>
        <v>Empty</v>
      </c>
      <c r="F51" s="152" t="str">
        <f>IF(L10="","Empty",L10)</f>
        <v>Empty</v>
      </c>
      <c r="G51" s="48" t="str">
        <f>IF(L11="","Empty",L11)</f>
        <v>Empty</v>
      </c>
      <c r="H51" s="152">
        <f>IF(L14="","Empty",L14)</f>
        <v>0</v>
      </c>
      <c r="I51" s="152" t="str">
        <f>IF(L15="","Empty",L15)</f>
        <v>Empty</v>
      </c>
      <c r="J51" s="152" t="str">
        <f>IF(L16="","Empty",L16)</f>
        <v>Empty</v>
      </c>
      <c r="K51" s="152" t="str">
        <f>IF(L17="","Empty",L17)</f>
        <v>Empty</v>
      </c>
      <c r="L51" s="152" t="str">
        <f>IF(L18="","Empty",L18)</f>
        <v>Empty</v>
      </c>
      <c r="M51" s="152" t="str">
        <f>IF(L19="","Empty",L19)</f>
        <v>Empty</v>
      </c>
      <c r="N51" s="152" t="str">
        <f>IF(L20="","Empty",L20)</f>
        <v>Empty</v>
      </c>
      <c r="O51" s="152" t="str">
        <f>IF(L21="","Empty",L21)</f>
        <v>Empty</v>
      </c>
      <c r="P51" s="152" t="str">
        <f>IF(L22="","Empty",L22)</f>
        <v>Empty</v>
      </c>
      <c r="Q51" s="152" t="str">
        <f>IF(L23="","Empty",L23)</f>
        <v>Empty</v>
      </c>
      <c r="R51" s="152" t="str">
        <f>IF(L24="","Empty",L24)</f>
        <v>Empty</v>
      </c>
      <c r="S51" s="152" t="str">
        <f>IF(L25="","Empty",L25)</f>
        <v>Empty</v>
      </c>
      <c r="T51" s="152" t="str">
        <f>IF(L26="","Empty",L26)</f>
        <v>Empty</v>
      </c>
      <c r="U51" s="152" t="str">
        <f>IF(L27="","Empty",L27)</f>
        <v>Empty</v>
      </c>
      <c r="V51" s="152" t="str">
        <f>IF(L28="","Empty",L28)</f>
        <v>Empty</v>
      </c>
      <c r="W51" s="152" t="str">
        <f>IF(L29="","Empty",L29)</f>
        <v>Empty</v>
      </c>
      <c r="X51" s="152" t="str">
        <f>IF(L30="","Empty",L30)</f>
        <v>Empty</v>
      </c>
      <c r="Y51" s="152" t="str">
        <f>IF(L31="","Empty",L31)</f>
        <v>Empty</v>
      </c>
      <c r="Z51" s="152" t="str">
        <f>IF(L32="","Empty",L32)</f>
        <v>Empty</v>
      </c>
      <c r="AA51" s="152" t="str">
        <f>IF(L33="","Empty",L33)</f>
        <v>Empty</v>
      </c>
      <c r="AB51" s="152" t="str">
        <f>IF(L34="","Empty",L34)</f>
        <v>Empty</v>
      </c>
      <c r="AC51" s="152"/>
      <c r="AD51" s="152"/>
    </row>
    <row r="52" spans="1:30" hidden="1" x14ac:dyDescent="0.25">
      <c r="A52" s="48" t="s">
        <v>111</v>
      </c>
      <c r="B52" s="48" t="s">
        <v>132</v>
      </c>
      <c r="C52" s="48" t="s">
        <v>114</v>
      </c>
      <c r="D52" s="48" t="s">
        <v>146</v>
      </c>
      <c r="E52" s="48" t="s">
        <v>146</v>
      </c>
      <c r="F52" s="48">
        <v>2766</v>
      </c>
      <c r="G52" s="48" t="s">
        <v>142</v>
      </c>
      <c r="H52" s="149">
        <v>0</v>
      </c>
      <c r="I52" s="149">
        <v>1.3</v>
      </c>
      <c r="J52" s="149">
        <v>1.5</v>
      </c>
      <c r="K52" s="149">
        <v>1.7</v>
      </c>
      <c r="L52" s="149">
        <v>2</v>
      </c>
      <c r="M52" s="149">
        <v>2.2999999999999998</v>
      </c>
      <c r="N52" s="149">
        <v>2.6</v>
      </c>
      <c r="O52" s="149">
        <v>2.9</v>
      </c>
      <c r="P52" s="149">
        <v>3.3</v>
      </c>
      <c r="Q52" s="149">
        <v>3.8</v>
      </c>
      <c r="R52" s="149">
        <v>4.2</v>
      </c>
      <c r="S52" s="149">
        <v>4.8</v>
      </c>
      <c r="T52" s="149">
        <v>5.4</v>
      </c>
      <c r="U52" s="149">
        <v>6.1</v>
      </c>
      <c r="V52" s="149">
        <v>7.1</v>
      </c>
      <c r="W52" s="149">
        <v>8.1999999999999993</v>
      </c>
      <c r="X52" s="149">
        <v>10.199999999999999</v>
      </c>
      <c r="Y52" s="149">
        <v>12.6</v>
      </c>
      <c r="Z52" s="149">
        <v>16.3</v>
      </c>
      <c r="AA52" s="149">
        <v>23.1</v>
      </c>
      <c r="AB52" s="149">
        <v>35.200000000000003</v>
      </c>
    </row>
    <row r="53" spans="1:30" hidden="1" x14ac:dyDescent="0.25">
      <c r="A53" s="48" t="s">
        <v>118</v>
      </c>
      <c r="B53" s="48" t="s">
        <v>133</v>
      </c>
      <c r="C53" s="48" t="s">
        <v>137</v>
      </c>
      <c r="D53" s="48" t="s">
        <v>146</v>
      </c>
      <c r="E53" s="48" t="s">
        <v>146</v>
      </c>
      <c r="F53" s="48">
        <v>2085</v>
      </c>
      <c r="G53" s="48" t="s">
        <v>142</v>
      </c>
      <c r="H53" s="149">
        <v>0</v>
      </c>
      <c r="I53" s="149">
        <v>1.3</v>
      </c>
      <c r="J53" s="149">
        <v>1.5</v>
      </c>
      <c r="K53" s="149">
        <v>1.8</v>
      </c>
      <c r="L53" s="149">
        <v>2.1</v>
      </c>
      <c r="M53" s="149">
        <v>2.4</v>
      </c>
      <c r="N53" s="149">
        <v>2.7</v>
      </c>
      <c r="O53" s="149">
        <v>3.1</v>
      </c>
      <c r="P53" s="149">
        <v>3.4</v>
      </c>
      <c r="Q53" s="149">
        <v>3.9</v>
      </c>
      <c r="R53" s="149">
        <v>4.4000000000000004</v>
      </c>
      <c r="S53" s="149">
        <v>4.9000000000000004</v>
      </c>
      <c r="T53" s="149">
        <v>5.5</v>
      </c>
      <c r="U53" s="149">
        <v>6.5</v>
      </c>
      <c r="V53" s="149">
        <v>7.4</v>
      </c>
      <c r="W53" s="149">
        <v>8.6999999999999993</v>
      </c>
      <c r="X53" s="149">
        <v>10.199999999999999</v>
      </c>
      <c r="Y53" s="149">
        <v>11.6</v>
      </c>
      <c r="Z53" s="149">
        <v>14.2</v>
      </c>
      <c r="AA53" s="149">
        <v>19.399999999999999</v>
      </c>
      <c r="AB53" s="149">
        <v>34.200000000000003</v>
      </c>
    </row>
    <row r="54" spans="1:30" hidden="1" x14ac:dyDescent="0.25">
      <c r="A54" s="48" t="s">
        <v>120</v>
      </c>
      <c r="B54" s="48" t="s">
        <v>134</v>
      </c>
      <c r="C54" s="48" t="s">
        <v>121</v>
      </c>
      <c r="D54" s="48" t="s">
        <v>146</v>
      </c>
      <c r="E54" s="48" t="s">
        <v>146</v>
      </c>
      <c r="F54" s="48">
        <v>1750</v>
      </c>
      <c r="G54" s="48" t="s">
        <v>142</v>
      </c>
      <c r="H54" s="149">
        <v>0</v>
      </c>
      <c r="I54" s="149">
        <v>1.3</v>
      </c>
      <c r="J54" s="149">
        <v>1.5</v>
      </c>
      <c r="K54" s="149">
        <v>1.8</v>
      </c>
      <c r="L54" s="149">
        <v>2</v>
      </c>
      <c r="M54" s="149">
        <v>2.4</v>
      </c>
      <c r="N54" s="149">
        <v>2.7</v>
      </c>
      <c r="O54" s="149">
        <v>3.1</v>
      </c>
      <c r="P54" s="149">
        <v>3.6</v>
      </c>
      <c r="Q54" s="149">
        <v>4</v>
      </c>
      <c r="R54" s="149">
        <v>4.5999999999999996</v>
      </c>
      <c r="S54" s="149">
        <v>5.3</v>
      </c>
      <c r="T54" s="149">
        <v>5.9</v>
      </c>
      <c r="U54" s="149">
        <v>6.9</v>
      </c>
      <c r="V54" s="149">
        <v>7.8</v>
      </c>
      <c r="W54" s="149">
        <v>9.3000000000000007</v>
      </c>
      <c r="X54" s="149">
        <v>11</v>
      </c>
      <c r="Y54" s="149">
        <v>13.7</v>
      </c>
      <c r="Z54" s="149">
        <v>17.100000000000001</v>
      </c>
      <c r="AA54" s="149">
        <v>23.9</v>
      </c>
      <c r="AB54" s="149">
        <v>40.200000000000003</v>
      </c>
    </row>
    <row r="55" spans="1:30" hidden="1" x14ac:dyDescent="0.25">
      <c r="A55" s="48" t="s">
        <v>123</v>
      </c>
      <c r="B55" s="48" t="s">
        <v>135</v>
      </c>
      <c r="C55" s="48" t="s">
        <v>122</v>
      </c>
      <c r="D55" s="48" t="s">
        <v>146</v>
      </c>
      <c r="E55" s="48" t="s">
        <v>146</v>
      </c>
      <c r="F55" s="48">
        <v>1891</v>
      </c>
      <c r="G55" s="48" t="s">
        <v>142</v>
      </c>
      <c r="H55" s="48">
        <v>0</v>
      </c>
      <c r="I55" s="48">
        <v>1.25</v>
      </c>
      <c r="J55" s="48">
        <v>1.5</v>
      </c>
      <c r="K55" s="48">
        <v>1.7</v>
      </c>
      <c r="L55" s="48">
        <v>2</v>
      </c>
      <c r="M55" s="48">
        <v>2.2999999999999998</v>
      </c>
      <c r="N55" s="48">
        <v>2.6</v>
      </c>
      <c r="O55" s="48">
        <v>3</v>
      </c>
      <c r="P55" s="48">
        <v>3.4</v>
      </c>
      <c r="Q55" s="48">
        <v>3.9</v>
      </c>
      <c r="R55" s="48">
        <v>4.4000000000000004</v>
      </c>
      <c r="S55" s="48">
        <v>5.0999999999999996</v>
      </c>
      <c r="T55" s="48">
        <v>5.8</v>
      </c>
      <c r="U55" s="48">
        <v>6.8</v>
      </c>
      <c r="V55" s="48">
        <v>7.7</v>
      </c>
      <c r="W55" s="48">
        <v>9.1</v>
      </c>
      <c r="X55" s="48">
        <v>11.2</v>
      </c>
      <c r="Y55" s="48">
        <v>13.2</v>
      </c>
      <c r="Z55" s="48">
        <v>15.4</v>
      </c>
      <c r="AA55" s="48">
        <v>20.2</v>
      </c>
      <c r="AB55" s="48">
        <v>34.700000000000003</v>
      </c>
    </row>
    <row r="56" spans="1:30" hidden="1" x14ac:dyDescent="0.25">
      <c r="A56" s="48" t="s">
        <v>124</v>
      </c>
      <c r="B56" s="48" t="s">
        <v>136</v>
      </c>
      <c r="C56" s="155">
        <v>1991</v>
      </c>
      <c r="D56" s="48" t="s">
        <v>149</v>
      </c>
      <c r="E56" s="48" t="s">
        <v>149</v>
      </c>
      <c r="F56" s="48">
        <v>371</v>
      </c>
      <c r="G56" s="48" t="s">
        <v>142</v>
      </c>
      <c r="H56" s="183">
        <v>0</v>
      </c>
      <c r="I56" s="183">
        <v>2</v>
      </c>
      <c r="J56" s="183">
        <v>2</v>
      </c>
      <c r="K56" s="183">
        <v>3</v>
      </c>
      <c r="L56" s="183">
        <v>3</v>
      </c>
      <c r="M56" s="183">
        <v>4</v>
      </c>
      <c r="N56" s="183">
        <v>4</v>
      </c>
      <c r="O56" s="183">
        <v>5</v>
      </c>
      <c r="P56" s="183">
        <v>5</v>
      </c>
      <c r="Q56" s="183">
        <v>6</v>
      </c>
      <c r="R56" s="183">
        <v>7</v>
      </c>
      <c r="S56" s="183">
        <v>9</v>
      </c>
      <c r="T56" s="183">
        <v>11</v>
      </c>
      <c r="U56" s="183">
        <v>12</v>
      </c>
      <c r="V56" s="183">
        <v>12</v>
      </c>
      <c r="W56" s="183">
        <v>15</v>
      </c>
      <c r="X56" s="183">
        <v>17</v>
      </c>
      <c r="Y56" s="183">
        <v>23</v>
      </c>
      <c r="Z56" s="183">
        <v>29</v>
      </c>
      <c r="AA56" s="183">
        <v>42</v>
      </c>
      <c r="AB56" s="183">
        <v>53</v>
      </c>
    </row>
    <row r="57" spans="1:30" hidden="1" x14ac:dyDescent="0.25">
      <c r="A57" s="48" t="s">
        <v>151</v>
      </c>
      <c r="B57" s="48" t="s">
        <v>135</v>
      </c>
      <c r="C57" s="48" t="s">
        <v>143</v>
      </c>
      <c r="D57" s="48" t="s">
        <v>150</v>
      </c>
      <c r="E57" s="48" t="s">
        <v>146</v>
      </c>
      <c r="F57" s="48" t="s">
        <v>145</v>
      </c>
      <c r="G57" s="48" t="s">
        <v>144</v>
      </c>
      <c r="H57" s="48">
        <v>0</v>
      </c>
      <c r="I57" s="149">
        <v>0.53092504726491008</v>
      </c>
      <c r="J57" s="149">
        <v>1.0618500945298202</v>
      </c>
      <c r="K57" s="149">
        <v>1.1946080246872006</v>
      </c>
      <c r="L57" s="149">
        <v>1.3310751428751357</v>
      </c>
      <c r="M57" s="149">
        <v>1.476681261601412</v>
      </c>
      <c r="N57" s="149">
        <v>1.6358466113766068</v>
      </c>
      <c r="O57" s="149">
        <v>1.8131500277406876</v>
      </c>
      <c r="P57" s="149">
        <v>2.0139907687456744</v>
      </c>
      <c r="Q57" s="149">
        <v>2.2452256812031481</v>
      </c>
      <c r="R57" s="149">
        <v>2.516005802426156</v>
      </c>
      <c r="S57" s="149">
        <v>2.8390491775836288</v>
      </c>
      <c r="T57" s="149">
        <v>3.2327416857312521</v>
      </c>
      <c r="U57" s="149">
        <v>3.7248354602411911</v>
      </c>
      <c r="V57" s="149">
        <v>4.3594126023088018</v>
      </c>
      <c r="W57" s="149">
        <v>5.2110916683899644</v>
      </c>
      <c r="X57" s="149">
        <v>6.4171369923800947</v>
      </c>
      <c r="Y57" s="149">
        <v>8.2608177041394644</v>
      </c>
      <c r="Z57" s="149">
        <v>11.436069312096867</v>
      </c>
      <c r="AA57" s="149">
        <v>18.215144079756033</v>
      </c>
      <c r="AB57" s="149">
        <v>42.852109699328643</v>
      </c>
    </row>
    <row r="58" spans="1:30" hidden="1" x14ac:dyDescent="0.25">
      <c r="A58" s="48" t="s">
        <v>152</v>
      </c>
      <c r="B58" s="48" t="s">
        <v>135</v>
      </c>
      <c r="C58" s="48" t="s">
        <v>143</v>
      </c>
      <c r="D58" s="48" t="s">
        <v>150</v>
      </c>
      <c r="E58" s="48" t="s">
        <v>147</v>
      </c>
      <c r="F58" s="48" t="s">
        <v>145</v>
      </c>
      <c r="G58" s="48" t="s">
        <v>144</v>
      </c>
      <c r="I58" s="149">
        <v>0.38567435114234455</v>
      </c>
      <c r="J58" s="149">
        <v>0.7713487022846891</v>
      </c>
      <c r="K58" s="149">
        <v>1.3983966047134615</v>
      </c>
      <c r="L58" s="149">
        <v>1.8325691806997091</v>
      </c>
      <c r="M58" s="149">
        <v>2.1883978352947304</v>
      </c>
      <c r="N58" s="149">
        <v>2.5141214361742716</v>
      </c>
      <c r="O58" s="149">
        <v>2.8359105435897143</v>
      </c>
      <c r="P58" s="149">
        <v>3.1717223093424609</v>
      </c>
      <c r="Q58" s="149">
        <v>3.537017430027749</v>
      </c>
      <c r="R58" s="149">
        <v>3.9479728909368981</v>
      </c>
      <c r="S58" s="149">
        <v>4.4241567399292849</v>
      </c>
      <c r="T58" s="149">
        <v>4.9917632270242391</v>
      </c>
      <c r="U58" s="149">
        <v>5.6886037465481074</v>
      </c>
      <c r="V58" s="149">
        <v>6.5729738123008437</v>
      </c>
      <c r="W58" s="149">
        <v>7.7411228895940916</v>
      </c>
      <c r="X58" s="149">
        <v>9.3654895163611425</v>
      </c>
      <c r="Y58" s="149">
        <v>11.790086781504305</v>
      </c>
      <c r="Z58" s="149">
        <v>15.816246965469052</v>
      </c>
      <c r="AA58" s="149">
        <v>23.843473733764032</v>
      </c>
      <c r="AB58" s="149">
        <v>47.823109427902445</v>
      </c>
    </row>
    <row r="59" spans="1:30" hidden="1" x14ac:dyDescent="0.25">
      <c r="A59" s="48" t="s">
        <v>153</v>
      </c>
      <c r="B59" s="48" t="s">
        <v>135</v>
      </c>
      <c r="C59" s="48" t="s">
        <v>143</v>
      </c>
      <c r="D59" s="48" t="s">
        <v>150</v>
      </c>
      <c r="E59" s="48" t="s">
        <v>148</v>
      </c>
      <c r="F59" s="48" t="s">
        <v>145</v>
      </c>
      <c r="G59" s="48" t="s">
        <v>144</v>
      </c>
      <c r="H59" s="149">
        <v>0</v>
      </c>
      <c r="I59" s="149">
        <v>0.82499580014327045</v>
      </c>
      <c r="J59" s="149">
        <v>1.6499916002865409</v>
      </c>
      <c r="K59" s="149">
        <v>1.9165371443335886</v>
      </c>
      <c r="L59" s="149">
        <v>2.1859227230509459</v>
      </c>
      <c r="M59" s="149">
        <v>2.4700134299042409</v>
      </c>
      <c r="N59" s="149">
        <v>2.7777783279089427</v>
      </c>
      <c r="O59" s="149">
        <v>3.1180454291477075</v>
      </c>
      <c r="P59" s="149">
        <v>3.5008981799414771</v>
      </c>
      <c r="Q59" s="149">
        <v>3.9388837246161028</v>
      </c>
      <c r="R59" s="149">
        <v>4.4485028250802072</v>
      </c>
      <c r="S59" s="149">
        <v>5.0524040696437362</v>
      </c>
      <c r="T59" s="149">
        <v>5.7829301435767899</v>
      </c>
      <c r="U59" s="149">
        <v>6.6882452339218608</v>
      </c>
      <c r="V59" s="149">
        <v>7.843637491774067</v>
      </c>
      <c r="W59" s="149">
        <v>9.3740052955332054</v>
      </c>
      <c r="X59" s="149">
        <v>11.503049119335136</v>
      </c>
      <c r="Y59" s="149">
        <v>14.675361053409553</v>
      </c>
      <c r="Z59" s="149">
        <v>19.918844725925222</v>
      </c>
      <c r="AA59" s="149">
        <v>30.268981099771882</v>
      </c>
      <c r="AB59" s="149">
        <v>60.348549504960395</v>
      </c>
    </row>
    <row r="60" spans="1:30" hidden="1" x14ac:dyDescent="0.25">
      <c r="A60" s="48" t="s">
        <v>154</v>
      </c>
      <c r="B60" s="48" t="s">
        <v>135</v>
      </c>
      <c r="C60" s="48" t="s">
        <v>143</v>
      </c>
      <c r="D60" s="48" t="s">
        <v>150</v>
      </c>
      <c r="E60" s="48" t="s">
        <v>149</v>
      </c>
      <c r="F60" s="48" t="s">
        <v>145</v>
      </c>
      <c r="G60" s="48" t="s">
        <v>144</v>
      </c>
      <c r="I60" s="149">
        <v>0.20877021328675097</v>
      </c>
      <c r="J60" s="149">
        <v>0.41754042657350193</v>
      </c>
      <c r="K60" s="149">
        <v>1.1884479279186075</v>
      </c>
      <c r="L60" s="149">
        <v>1.901769903457146</v>
      </c>
      <c r="M60" s="149">
        <v>2.5868228049049584</v>
      </c>
      <c r="N60" s="149">
        <v>3.2672661985917562</v>
      </c>
      <c r="O60" s="149">
        <v>3.9643229782244154</v>
      </c>
      <c r="P60" s="149">
        <v>4.6991820899336529</v>
      </c>
      <c r="Q60" s="149">
        <v>5.495213262287991</v>
      </c>
      <c r="R60" s="149">
        <v>6.3805015257444806</v>
      </c>
      <c r="S60" s="149">
        <v>7.3912990288758262</v>
      </c>
      <c r="T60" s="149">
        <v>8.5773345888694941</v>
      </c>
      <c r="U60" s="149">
        <v>10.010733792298906</v>
      </c>
      <c r="V60" s="149">
        <v>11.80218927707835</v>
      </c>
      <c r="W60" s="149">
        <v>14.132696134406171</v>
      </c>
      <c r="X60" s="149">
        <v>17.322012593582919</v>
      </c>
      <c r="Y60" s="149">
        <v>21.995626787829035</v>
      </c>
      <c r="Z60" s="149">
        <v>29.568165693175526</v>
      </c>
      <c r="AA60" s="149">
        <v>44.066600256228753</v>
      </c>
      <c r="AB60" s="149">
        <v>83.34604783136453</v>
      </c>
    </row>
    <row r="61" spans="1:30" hidden="1" x14ac:dyDescent="0.25"/>
    <row r="62" spans="1:30" hidden="1" x14ac:dyDescent="0.25"/>
    <row r="63" spans="1:30" ht="15.6" hidden="1" x14ac:dyDescent="0.3">
      <c r="A63" s="187" t="s">
        <v>200</v>
      </c>
      <c r="B63" s="187"/>
      <c r="C63"/>
      <c r="D63" s="187" t="s">
        <v>210</v>
      </c>
      <c r="E63"/>
      <c r="F63"/>
      <c r="I63" s="149"/>
      <c r="J63" s="156"/>
      <c r="K63" s="187" t="s">
        <v>200</v>
      </c>
      <c r="L63" s="156"/>
      <c r="M63" s="156"/>
      <c r="N63" s="156"/>
      <c r="O63" s="156"/>
      <c r="P63" s="156"/>
      <c r="Q63" s="156"/>
      <c r="R63" s="156"/>
      <c r="S63" s="156"/>
      <c r="T63" s="156"/>
      <c r="U63" s="156"/>
      <c r="V63" s="156"/>
      <c r="W63" s="156"/>
      <c r="X63" s="156"/>
      <c r="Y63" s="156"/>
      <c r="Z63" s="156"/>
      <c r="AA63" s="156"/>
      <c r="AB63" s="156"/>
    </row>
    <row r="64" spans="1:30" ht="15.6" hidden="1" x14ac:dyDescent="0.3">
      <c r="A64" s="187" t="s">
        <v>211</v>
      </c>
      <c r="B64" s="187"/>
      <c r="C64"/>
      <c r="D64"/>
      <c r="E64"/>
      <c r="F64"/>
      <c r="I64" s="149"/>
      <c r="J64" s="156"/>
      <c r="K64" s="187" t="s">
        <v>201</v>
      </c>
      <c r="L64" s="156"/>
      <c r="M64" s="156"/>
      <c r="N64" s="156"/>
      <c r="O64" s="156"/>
      <c r="P64" s="156"/>
      <c r="Q64" s="156"/>
      <c r="R64" s="156"/>
      <c r="S64" s="156"/>
      <c r="T64" s="156"/>
      <c r="U64" s="156"/>
      <c r="V64" s="156"/>
      <c r="W64" s="156"/>
      <c r="X64" s="156"/>
      <c r="Y64" s="156"/>
      <c r="Z64" s="156"/>
      <c r="AA64" s="156"/>
      <c r="AB64" s="156"/>
    </row>
    <row r="65" spans="1:28" ht="43.2" hidden="1" x14ac:dyDescent="0.25">
      <c r="A65" s="189" t="s">
        <v>239</v>
      </c>
      <c r="B65" s="255" t="s">
        <v>26</v>
      </c>
      <c r="C65" s="190" t="s">
        <v>212</v>
      </c>
      <c r="D65" s="190" t="s">
        <v>213</v>
      </c>
      <c r="E65" s="190" t="s">
        <v>214</v>
      </c>
      <c r="F65" s="190" t="s">
        <v>215</v>
      </c>
      <c r="G65" s="190" t="s">
        <v>216</v>
      </c>
      <c r="H65" s="190" t="s">
        <v>217</v>
      </c>
      <c r="I65" s="190" t="s">
        <v>218</v>
      </c>
      <c r="J65" s="190" t="s">
        <v>188</v>
      </c>
      <c r="K65" s="204" t="s">
        <v>219</v>
      </c>
      <c r="L65" s="191" t="s">
        <v>220</v>
      </c>
      <c r="M65" s="191" t="s">
        <v>231</v>
      </c>
      <c r="N65" s="191" t="s">
        <v>221</v>
      </c>
      <c r="O65" s="191" t="s">
        <v>222</v>
      </c>
      <c r="P65" s="192" t="s">
        <v>234</v>
      </c>
      <c r="Q65" s="192" t="s">
        <v>233</v>
      </c>
      <c r="R65" s="255" t="s">
        <v>236</v>
      </c>
      <c r="S65" s="193" t="s">
        <v>232</v>
      </c>
      <c r="T65" s="194" t="s">
        <v>202</v>
      </c>
      <c r="U65" s="195" t="s">
        <v>187</v>
      </c>
      <c r="V65" s="255" t="s">
        <v>8</v>
      </c>
      <c r="W65" s="190" t="s">
        <v>248</v>
      </c>
      <c r="X65" s="255" t="s">
        <v>250</v>
      </c>
      <c r="Y65" s="283" t="s">
        <v>249</v>
      </c>
      <c r="Z65" s="190"/>
      <c r="AA65" s="190"/>
      <c r="AB65" s="156"/>
    </row>
    <row r="66" spans="1:28" hidden="1" x14ac:dyDescent="0.25">
      <c r="A66" s="188" t="s">
        <v>264</v>
      </c>
      <c r="B66" s="311" t="s">
        <v>263</v>
      </c>
      <c r="C66" s="258">
        <v>0.80500000000000005</v>
      </c>
      <c r="D66" s="258">
        <v>0.76600000000000001</v>
      </c>
      <c r="E66" s="258">
        <v>0.71199999999999997</v>
      </c>
      <c r="F66" s="258">
        <v>0.629</v>
      </c>
      <c r="G66" s="258">
        <v>0.63600000000000001</v>
      </c>
      <c r="H66" s="258">
        <v>0.55100000000000005</v>
      </c>
      <c r="I66" s="258">
        <v>0.41799999999999998</v>
      </c>
      <c r="J66" s="261">
        <v>0</v>
      </c>
      <c r="K66" s="298">
        <v>1.2</v>
      </c>
      <c r="L66" s="299">
        <v>1.2</v>
      </c>
      <c r="M66" s="299">
        <v>4.4000000000000004</v>
      </c>
      <c r="N66" s="299">
        <v>7.2</v>
      </c>
      <c r="O66" s="299">
        <v>1.2</v>
      </c>
      <c r="P66" s="299" t="s">
        <v>98</v>
      </c>
      <c r="Q66" s="253" t="s">
        <v>230</v>
      </c>
      <c r="R66" s="205" t="s">
        <v>238</v>
      </c>
      <c r="S66" s="300">
        <v>1419</v>
      </c>
      <c r="T66" s="301" t="s">
        <v>265</v>
      </c>
      <c r="U66" s="301">
        <v>2023</v>
      </c>
      <c r="V66" s="301"/>
      <c r="W66" s="111">
        <v>1.2190000000000001</v>
      </c>
      <c r="X66" s="302">
        <v>1.8288</v>
      </c>
      <c r="Y66" s="297">
        <v>0.35599999999999998</v>
      </c>
      <c r="Z66" s="297"/>
      <c r="AA66" s="297"/>
      <c r="AB66" s="156"/>
    </row>
    <row r="67" spans="1:28" ht="16.2" hidden="1" x14ac:dyDescent="0.25">
      <c r="A67" s="184" t="s">
        <v>240</v>
      </c>
      <c r="B67" s="207" t="s">
        <v>189</v>
      </c>
      <c r="C67" s="259">
        <v>0.67700000000000005</v>
      </c>
      <c r="D67" s="259">
        <v>0.63300000000000001</v>
      </c>
      <c r="E67" s="259">
        <v>0.54899999999999993</v>
      </c>
      <c r="F67" s="259">
        <v>0.45399999999999996</v>
      </c>
      <c r="G67" s="259">
        <v>0.42100000000000004</v>
      </c>
      <c r="H67" s="259">
        <v>0.35499999999999998</v>
      </c>
      <c r="I67" s="259">
        <v>0.33600000000000002</v>
      </c>
      <c r="J67" s="262">
        <v>0</v>
      </c>
      <c r="K67" s="259">
        <v>0.4</v>
      </c>
      <c r="L67" s="257">
        <v>3.4</v>
      </c>
      <c r="M67" s="257">
        <v>2</v>
      </c>
      <c r="N67" s="257">
        <v>0</v>
      </c>
      <c r="O67" s="257">
        <v>0.4</v>
      </c>
      <c r="P67" s="207" t="s">
        <v>98</v>
      </c>
      <c r="Q67" s="253" t="s">
        <v>230</v>
      </c>
      <c r="R67" s="253" t="s">
        <v>237</v>
      </c>
      <c r="S67" s="253">
        <v>1077</v>
      </c>
      <c r="T67" s="207" t="s">
        <v>203</v>
      </c>
      <c r="U67" s="207">
        <v>2022</v>
      </c>
      <c r="V67" s="207"/>
      <c r="W67" s="111">
        <v>1.2190000000000001</v>
      </c>
      <c r="X67" s="111">
        <v>1.524</v>
      </c>
      <c r="Y67" s="111">
        <v>0.2</v>
      </c>
    </row>
    <row r="68" spans="1:28" ht="16.2" hidden="1" x14ac:dyDescent="0.25">
      <c r="A68" s="188" t="s">
        <v>241</v>
      </c>
      <c r="B68" s="206" t="s">
        <v>190</v>
      </c>
      <c r="C68" s="258">
        <v>0.67700000000000005</v>
      </c>
      <c r="D68" s="258">
        <v>0.63300000000000001</v>
      </c>
      <c r="E68" s="258">
        <v>0.54899999999999993</v>
      </c>
      <c r="F68" s="258">
        <v>0.45399999999999996</v>
      </c>
      <c r="G68" s="258">
        <v>0.42100000000000004</v>
      </c>
      <c r="H68" s="258">
        <v>0.35</v>
      </c>
      <c r="I68" s="258">
        <v>0.28699999999999998</v>
      </c>
      <c r="J68" s="261">
        <v>0</v>
      </c>
      <c r="K68" s="258">
        <v>0.4</v>
      </c>
      <c r="L68" s="256">
        <v>3.4</v>
      </c>
      <c r="M68" s="256">
        <v>2</v>
      </c>
      <c r="N68" s="256">
        <v>0</v>
      </c>
      <c r="O68" s="256">
        <v>0.4</v>
      </c>
      <c r="P68" s="265" t="s">
        <v>95</v>
      </c>
      <c r="Q68" s="267">
        <v>0.999</v>
      </c>
      <c r="R68" s="205" t="s">
        <v>237</v>
      </c>
      <c r="S68" s="205">
        <v>600</v>
      </c>
      <c r="T68" s="206" t="s">
        <v>204</v>
      </c>
      <c r="U68" s="206">
        <v>2022</v>
      </c>
      <c r="V68" s="206"/>
      <c r="W68" s="111">
        <v>1.2190000000000001</v>
      </c>
      <c r="X68" s="111">
        <v>1.524</v>
      </c>
      <c r="Y68" s="111">
        <v>0.2</v>
      </c>
    </row>
    <row r="69" spans="1:28" hidden="1" x14ac:dyDescent="0.25">
      <c r="A69" s="188" t="s">
        <v>267</v>
      </c>
      <c r="B69" s="206" t="s">
        <v>268</v>
      </c>
      <c r="C69" s="258">
        <v>0.83899999999999997</v>
      </c>
      <c r="D69" s="258">
        <v>0.77600000000000002</v>
      </c>
      <c r="E69" s="258">
        <v>0.68400000000000005</v>
      </c>
      <c r="F69" s="258">
        <v>0.66900000000000004</v>
      </c>
      <c r="G69" s="258">
        <v>0.59399999999999997</v>
      </c>
      <c r="H69" s="258">
        <v>0.52400000000000002</v>
      </c>
      <c r="I69" s="258">
        <v>0.46</v>
      </c>
      <c r="J69" s="261">
        <v>0</v>
      </c>
      <c r="K69" s="258">
        <v>0.5</v>
      </c>
      <c r="L69" s="256">
        <v>0.7</v>
      </c>
      <c r="M69" s="256">
        <v>0</v>
      </c>
      <c r="N69" s="256">
        <v>0</v>
      </c>
      <c r="O69" s="256">
        <v>0.11</v>
      </c>
      <c r="P69" s="265" t="s">
        <v>95</v>
      </c>
      <c r="Q69" s="267">
        <v>0.997</v>
      </c>
      <c r="R69" s="205" t="s">
        <v>238</v>
      </c>
      <c r="S69" s="205" t="s">
        <v>235</v>
      </c>
      <c r="T69" s="205" t="s">
        <v>235</v>
      </c>
      <c r="U69" s="206">
        <v>2021</v>
      </c>
      <c r="V69" s="206"/>
      <c r="W69" s="111">
        <v>0.9</v>
      </c>
      <c r="X69" s="111">
        <v>1.2</v>
      </c>
      <c r="Y69" s="111">
        <v>0.3</v>
      </c>
    </row>
    <row r="70" spans="1:28" ht="16.2" hidden="1" x14ac:dyDescent="0.25">
      <c r="A70" s="184" t="s">
        <v>191</v>
      </c>
      <c r="B70" s="206" t="s">
        <v>191</v>
      </c>
      <c r="C70" s="258">
        <v>0.72399999999999998</v>
      </c>
      <c r="D70" s="258">
        <v>0.67700000000000005</v>
      </c>
      <c r="E70" s="258">
        <v>0.57899999999999996</v>
      </c>
      <c r="F70" s="258">
        <v>0.52400000000000002</v>
      </c>
      <c r="G70" s="258">
        <v>0.42599999999999999</v>
      </c>
      <c r="H70" s="258">
        <v>0.35899999999999999</v>
      </c>
      <c r="I70" s="258">
        <v>0.26600000000000001</v>
      </c>
      <c r="J70" s="261">
        <v>0</v>
      </c>
      <c r="K70" s="258" t="s">
        <v>205</v>
      </c>
      <c r="L70" s="206" t="s">
        <v>205</v>
      </c>
      <c r="M70" s="206" t="s">
        <v>205</v>
      </c>
      <c r="N70" s="206" t="s">
        <v>205</v>
      </c>
      <c r="O70" s="206" t="s">
        <v>205</v>
      </c>
      <c r="P70" s="206" t="s">
        <v>98</v>
      </c>
      <c r="Q70" s="205" t="s">
        <v>230</v>
      </c>
      <c r="R70" s="205" t="s">
        <v>238</v>
      </c>
      <c r="S70" s="205" t="s">
        <v>230</v>
      </c>
      <c r="T70" s="206" t="s">
        <v>206</v>
      </c>
      <c r="U70" s="206">
        <v>2019</v>
      </c>
      <c r="V70" s="206"/>
      <c r="W70" s="111">
        <v>1.2190000000000001</v>
      </c>
      <c r="X70" s="111">
        <v>0.52</v>
      </c>
      <c r="Y70" s="111">
        <v>0.46</v>
      </c>
    </row>
    <row r="71" spans="1:28" hidden="1" x14ac:dyDescent="0.25">
      <c r="A71" s="188" t="s">
        <v>192</v>
      </c>
      <c r="B71" s="206" t="s">
        <v>192</v>
      </c>
      <c r="C71" s="258">
        <v>0.70399999999999996</v>
      </c>
      <c r="D71" s="258">
        <v>0.71</v>
      </c>
      <c r="E71" s="258">
        <v>0.59799999999999998</v>
      </c>
      <c r="F71" s="258">
        <v>0.53900000000000003</v>
      </c>
      <c r="G71" s="258">
        <v>0.50900000000000001</v>
      </c>
      <c r="H71" s="258">
        <v>0.45399999999999996</v>
      </c>
      <c r="I71" s="258">
        <v>0.39299999999999996</v>
      </c>
      <c r="J71" s="261">
        <v>0</v>
      </c>
      <c r="K71" s="258">
        <v>0</v>
      </c>
      <c r="L71" s="206">
        <v>0</v>
      </c>
      <c r="M71" s="206">
        <v>0</v>
      </c>
      <c r="N71" s="206">
        <v>0</v>
      </c>
      <c r="O71" s="206">
        <v>3.8</v>
      </c>
      <c r="P71" s="206" t="s">
        <v>98</v>
      </c>
      <c r="Q71" s="205" t="s">
        <v>230</v>
      </c>
      <c r="R71" s="205" t="s">
        <v>238</v>
      </c>
      <c r="S71" s="205" t="s">
        <v>230</v>
      </c>
      <c r="T71" s="205" t="s">
        <v>235</v>
      </c>
      <c r="U71" s="206">
        <v>2019</v>
      </c>
      <c r="V71" s="206"/>
      <c r="W71" s="111">
        <v>1.2190000000000001</v>
      </c>
      <c r="X71" s="111">
        <v>1.524</v>
      </c>
      <c r="Y71" s="111">
        <v>0.4572</v>
      </c>
    </row>
    <row r="72" spans="1:28" hidden="1" x14ac:dyDescent="0.25">
      <c r="A72" s="185" t="s">
        <v>245</v>
      </c>
      <c r="B72" s="206" t="s">
        <v>269</v>
      </c>
      <c r="C72" s="258">
        <v>0.68600000000000005</v>
      </c>
      <c r="D72" s="258">
        <v>0.64</v>
      </c>
      <c r="E72" s="258">
        <v>0.6</v>
      </c>
      <c r="F72" s="258">
        <v>0.56100000000000005</v>
      </c>
      <c r="G72" s="258">
        <v>0.46100000000000002</v>
      </c>
      <c r="H72" s="258">
        <v>0.41200000000000003</v>
      </c>
      <c r="I72" s="258">
        <v>0.35700000000000004</v>
      </c>
      <c r="J72" s="261">
        <v>0</v>
      </c>
      <c r="K72" s="258">
        <v>22.4</v>
      </c>
      <c r="L72" s="206">
        <v>28.5</v>
      </c>
      <c r="M72" s="206">
        <v>20</v>
      </c>
      <c r="N72" s="206">
        <v>19.100000000000001</v>
      </c>
      <c r="O72" s="206">
        <v>24.4</v>
      </c>
      <c r="P72" s="265" t="s">
        <v>95</v>
      </c>
      <c r="Q72" s="267">
        <v>0.88300000000000001</v>
      </c>
      <c r="R72" s="205" t="s">
        <v>237</v>
      </c>
      <c r="S72" s="205">
        <v>1400</v>
      </c>
      <c r="T72" s="205" t="s">
        <v>235</v>
      </c>
      <c r="U72" s="206">
        <v>2018</v>
      </c>
      <c r="V72" s="206"/>
      <c r="W72" s="111">
        <v>1.2190000000000001</v>
      </c>
      <c r="X72" s="111">
        <v>1.2190000000000001</v>
      </c>
      <c r="Y72" s="111">
        <v>0.3</v>
      </c>
    </row>
    <row r="73" spans="1:28" ht="26.4" hidden="1" x14ac:dyDescent="0.25">
      <c r="A73" s="188" t="s">
        <v>246</v>
      </c>
      <c r="B73" s="294" t="s">
        <v>193</v>
      </c>
      <c r="C73" s="258">
        <v>0.65500000000000003</v>
      </c>
      <c r="D73" s="258">
        <v>0.59899999999999998</v>
      </c>
      <c r="E73" s="258">
        <v>0.55399999999999994</v>
      </c>
      <c r="F73" s="258">
        <v>0.502</v>
      </c>
      <c r="G73" s="258">
        <v>0.44900000000000001</v>
      </c>
      <c r="H73" s="258">
        <v>0.45200000000000001</v>
      </c>
      <c r="I73" s="258">
        <v>0.40500000000000003</v>
      </c>
      <c r="J73" s="261">
        <v>0</v>
      </c>
      <c r="K73" s="258">
        <v>0</v>
      </c>
      <c r="L73" s="206">
        <v>0</v>
      </c>
      <c r="M73" s="206">
        <v>11</v>
      </c>
      <c r="N73" s="206">
        <v>2</v>
      </c>
      <c r="O73" s="206">
        <v>0</v>
      </c>
      <c r="P73" s="206" t="s">
        <v>98</v>
      </c>
      <c r="Q73" s="205" t="s">
        <v>230</v>
      </c>
      <c r="R73" s="205" t="s">
        <v>237</v>
      </c>
      <c r="S73" s="205">
        <v>1058</v>
      </c>
      <c r="T73" s="206" t="s">
        <v>207</v>
      </c>
      <c r="U73" s="206">
        <v>2018</v>
      </c>
      <c r="V73" s="206"/>
      <c r="W73" s="111">
        <v>1.2190000000000001</v>
      </c>
      <c r="X73" s="111">
        <v>1.51</v>
      </c>
      <c r="Y73" s="111">
        <v>0.45700000000000002</v>
      </c>
    </row>
    <row r="74" spans="1:28" hidden="1" x14ac:dyDescent="0.25">
      <c r="A74" s="184" t="s">
        <v>247</v>
      </c>
      <c r="B74" s="206" t="s">
        <v>252</v>
      </c>
      <c r="C74" s="258">
        <v>0.73499999999999999</v>
      </c>
      <c r="D74" s="258">
        <v>0.70299999999999996</v>
      </c>
      <c r="E74" s="258">
        <v>0.63400000000000001</v>
      </c>
      <c r="F74" s="258">
        <v>0.52600000000000002</v>
      </c>
      <c r="G74" s="258">
        <v>0.45100000000000001</v>
      </c>
      <c r="H74" s="258">
        <v>0.41499999999999998</v>
      </c>
      <c r="I74" s="258">
        <v>0.32400000000000001</v>
      </c>
      <c r="J74" s="261">
        <v>0.23</v>
      </c>
      <c r="K74" s="258">
        <v>1.8</v>
      </c>
      <c r="L74" s="206">
        <v>6.5</v>
      </c>
      <c r="M74" s="206">
        <v>8.1999999999999993</v>
      </c>
      <c r="N74" s="206">
        <v>11.2</v>
      </c>
      <c r="O74" s="264">
        <v>309.3</v>
      </c>
      <c r="P74" s="206" t="s">
        <v>95</v>
      </c>
      <c r="Q74" s="205">
        <v>97.6</v>
      </c>
      <c r="R74" s="205" t="s">
        <v>238</v>
      </c>
      <c r="S74" s="205" t="s">
        <v>235</v>
      </c>
      <c r="T74" s="205" t="s">
        <v>235</v>
      </c>
      <c r="U74" s="206">
        <v>2017</v>
      </c>
      <c r="V74" s="206"/>
      <c r="W74" s="111">
        <v>1.2190000000000001</v>
      </c>
      <c r="X74" s="111">
        <v>1.37</v>
      </c>
      <c r="Y74" s="111">
        <v>0.61</v>
      </c>
    </row>
    <row r="75" spans="1:28" hidden="1" x14ac:dyDescent="0.25">
      <c r="A75" s="188" t="s">
        <v>242</v>
      </c>
      <c r="B75" s="206" t="s">
        <v>195</v>
      </c>
      <c r="C75" s="258">
        <v>0.70399999999999996</v>
      </c>
      <c r="D75" s="258">
        <v>0.63800000000000001</v>
      </c>
      <c r="E75" s="258">
        <v>0.53900000000000003</v>
      </c>
      <c r="F75" s="258">
        <v>0.47499999999999998</v>
      </c>
      <c r="G75" s="258">
        <v>0.46</v>
      </c>
      <c r="H75" s="258">
        <v>0.43700000000000006</v>
      </c>
      <c r="I75" s="258">
        <v>0.49</v>
      </c>
      <c r="J75" s="261">
        <v>0</v>
      </c>
      <c r="K75" s="258">
        <v>4.5999999999999996</v>
      </c>
      <c r="L75" s="206">
        <v>0.7</v>
      </c>
      <c r="M75" s="206">
        <v>0</v>
      </c>
      <c r="N75" s="206">
        <v>0.2</v>
      </c>
      <c r="O75" s="206">
        <v>0.4</v>
      </c>
      <c r="P75" s="206" t="s">
        <v>98</v>
      </c>
      <c r="Q75" s="205" t="s">
        <v>230</v>
      </c>
      <c r="R75" s="205" t="s">
        <v>237</v>
      </c>
      <c r="S75" s="205">
        <v>1135</v>
      </c>
      <c r="T75" s="205" t="s">
        <v>235</v>
      </c>
      <c r="U75" s="206">
        <v>2017</v>
      </c>
      <c r="V75" s="206"/>
      <c r="W75" s="111">
        <v>1.2190000000000001</v>
      </c>
      <c r="X75" s="111">
        <v>1.524</v>
      </c>
      <c r="Y75" s="111">
        <v>0.20300000000000001</v>
      </c>
    </row>
    <row r="76" spans="1:28" hidden="1" x14ac:dyDescent="0.25">
      <c r="A76" s="184" t="s">
        <v>243</v>
      </c>
      <c r="B76" s="206" t="s">
        <v>196</v>
      </c>
      <c r="C76" s="258">
        <v>0.70399999999999996</v>
      </c>
      <c r="D76" s="258">
        <v>0.63800000000000001</v>
      </c>
      <c r="E76" s="258">
        <v>0.53900000000000003</v>
      </c>
      <c r="F76" s="258">
        <v>0.47499999999999998</v>
      </c>
      <c r="G76" s="258">
        <v>0.41700000000000004</v>
      </c>
      <c r="H76" s="258">
        <v>0.39700000000000002</v>
      </c>
      <c r="I76" s="258">
        <v>0.34200000000000003</v>
      </c>
      <c r="J76" s="261">
        <v>0</v>
      </c>
      <c r="K76" s="258">
        <v>4.5999999999999996</v>
      </c>
      <c r="L76" s="206">
        <v>0.7</v>
      </c>
      <c r="M76" s="206">
        <v>0</v>
      </c>
      <c r="N76" s="206">
        <v>0.2</v>
      </c>
      <c r="O76" s="206">
        <v>0.4</v>
      </c>
      <c r="P76" s="265" t="s">
        <v>95</v>
      </c>
      <c r="Q76" s="267">
        <v>0.99099999999999999</v>
      </c>
      <c r="R76" s="205" t="s">
        <v>237</v>
      </c>
      <c r="S76" s="205">
        <v>535</v>
      </c>
      <c r="T76" s="205" t="s">
        <v>235</v>
      </c>
      <c r="U76" s="206">
        <v>2017</v>
      </c>
      <c r="V76" s="206"/>
      <c r="W76" s="111">
        <v>1.2190000000000001</v>
      </c>
      <c r="X76" s="111">
        <v>1.524</v>
      </c>
      <c r="Y76" s="111">
        <v>0.20300000000000001</v>
      </c>
    </row>
    <row r="77" spans="1:28" hidden="1" x14ac:dyDescent="0.25">
      <c r="A77" s="188" t="s">
        <v>197</v>
      </c>
      <c r="B77" s="208" t="s">
        <v>251</v>
      </c>
      <c r="C77" s="260">
        <v>0.73</v>
      </c>
      <c r="D77" s="260">
        <v>0.67</v>
      </c>
      <c r="E77" s="260">
        <v>0.61</v>
      </c>
      <c r="F77" s="260">
        <v>0.53</v>
      </c>
      <c r="G77" s="260">
        <v>0.5</v>
      </c>
      <c r="H77" s="260">
        <v>0.52</v>
      </c>
      <c r="I77" s="260">
        <v>0.49</v>
      </c>
      <c r="J77" s="263">
        <v>0.47</v>
      </c>
      <c r="K77" s="260">
        <v>0</v>
      </c>
      <c r="L77" s="208">
        <v>9.3000000000000007</v>
      </c>
      <c r="M77" s="208">
        <v>4.7</v>
      </c>
      <c r="N77" s="208">
        <v>24.3</v>
      </c>
      <c r="O77" s="208">
        <v>10.5</v>
      </c>
      <c r="P77" s="266" t="s">
        <v>95</v>
      </c>
      <c r="Q77" s="268">
        <v>0.91</v>
      </c>
      <c r="R77" s="254" t="s">
        <v>238</v>
      </c>
      <c r="S77" s="254" t="s">
        <v>235</v>
      </c>
      <c r="T77" s="205" t="s">
        <v>235</v>
      </c>
      <c r="U77" s="208">
        <v>2016</v>
      </c>
      <c r="V77" s="208"/>
      <c r="W77" s="111">
        <v>0.91500000000000004</v>
      </c>
      <c r="X77" s="111">
        <v>1.39</v>
      </c>
      <c r="Y77" s="111">
        <v>0.77800000000000002</v>
      </c>
    </row>
    <row r="78" spans="1:28" hidden="1" x14ac:dyDescent="0.25">
      <c r="C78" s="186"/>
      <c r="D78" s="186"/>
      <c r="E78" s="186"/>
      <c r="F78" s="186"/>
      <c r="G78" s="186"/>
      <c r="H78" s="186"/>
      <c r="I78" s="186"/>
      <c r="J78" s="186"/>
      <c r="K78" s="186"/>
    </row>
    <row r="79" spans="1:28" hidden="1" x14ac:dyDescent="0.25">
      <c r="A79" s="186" t="s">
        <v>229</v>
      </c>
      <c r="B79" s="186"/>
      <c r="C79" s="186"/>
      <c r="D79" s="186"/>
      <c r="E79" s="186"/>
      <c r="F79" s="186"/>
      <c r="G79" s="186"/>
      <c r="H79" s="186"/>
      <c r="I79" s="186"/>
      <c r="J79" s="186"/>
      <c r="K79" s="186"/>
    </row>
    <row r="80" spans="1:28" hidden="1" x14ac:dyDescent="0.25">
      <c r="A80" s="352" t="s">
        <v>198</v>
      </c>
      <c r="B80" s="352"/>
    </row>
    <row r="81" spans="1:11" hidden="1" x14ac:dyDescent="0.25">
      <c r="A81" s="353" t="s">
        <v>199</v>
      </c>
      <c r="B81" s="353"/>
    </row>
    <row r="82" spans="1:11" ht="15" hidden="1" x14ac:dyDescent="0.25">
      <c r="A82" s="186"/>
      <c r="B82" s="186"/>
      <c r="C82"/>
      <c r="D82"/>
      <c r="E82"/>
      <c r="F82"/>
      <c r="G82"/>
      <c r="H82"/>
      <c r="I82"/>
    </row>
    <row r="83" spans="1:11" hidden="1" x14ac:dyDescent="0.25">
      <c r="A83" s="186" t="s">
        <v>223</v>
      </c>
      <c r="B83" s="186"/>
    </row>
    <row r="84" spans="1:11" ht="15" hidden="1" x14ac:dyDescent="0.25">
      <c r="A84" s="196" t="s">
        <v>208</v>
      </c>
      <c r="B84" s="186"/>
      <c r="C84"/>
      <c r="D84"/>
      <c r="E84"/>
      <c r="F84"/>
      <c r="G84"/>
      <c r="H84"/>
      <c r="I84"/>
      <c r="J84"/>
      <c r="K84"/>
    </row>
    <row r="85" spans="1:11" ht="15.6" hidden="1" x14ac:dyDescent="0.25">
      <c r="A85" s="196" t="s">
        <v>224</v>
      </c>
      <c r="B85" s="186"/>
      <c r="C85"/>
      <c r="D85"/>
      <c r="E85"/>
      <c r="F85"/>
      <c r="G85"/>
      <c r="H85"/>
      <c r="I85"/>
      <c r="J85"/>
      <c r="K85"/>
    </row>
    <row r="86" spans="1:11" ht="15" hidden="1" x14ac:dyDescent="0.25">
      <c r="A86" s="186" t="s">
        <v>209</v>
      </c>
      <c r="B86" s="186"/>
      <c r="C86"/>
      <c r="D86"/>
      <c r="E86"/>
      <c r="F86"/>
      <c r="G86"/>
      <c r="H86"/>
      <c r="I86"/>
      <c r="J86"/>
      <c r="K86"/>
    </row>
    <row r="87" spans="1:11" hidden="1" x14ac:dyDescent="0.25"/>
    <row r="88" spans="1:11" hidden="1" x14ac:dyDescent="0.25"/>
    <row r="89" spans="1:11" ht="26.4" hidden="1" x14ac:dyDescent="0.25">
      <c r="A89" s="199" t="s">
        <v>186</v>
      </c>
      <c r="B89" s="295" t="s">
        <v>225</v>
      </c>
      <c r="C89" s="197" t="s">
        <v>226</v>
      </c>
      <c r="D89" s="201" t="s">
        <v>274</v>
      </c>
      <c r="E89" s="201" t="s">
        <v>194</v>
      </c>
      <c r="F89" s="296" t="s">
        <v>227</v>
      </c>
      <c r="G89" s="200" t="s">
        <v>228</v>
      </c>
      <c r="H89" s="304" t="s">
        <v>266</v>
      </c>
      <c r="J89" s="188"/>
    </row>
    <row r="90" spans="1:11" ht="39.6" hidden="1" x14ac:dyDescent="0.25">
      <c r="A90" s="197" t="s">
        <v>266</v>
      </c>
      <c r="B90" s="201" t="s">
        <v>240</v>
      </c>
      <c r="C90" s="202" t="s">
        <v>191</v>
      </c>
      <c r="D90" s="203" t="s">
        <v>245</v>
      </c>
      <c r="E90" s="202" t="s">
        <v>247</v>
      </c>
      <c r="F90" s="197" t="s">
        <v>242</v>
      </c>
      <c r="G90" s="202" t="s">
        <v>197</v>
      </c>
      <c r="H90" s="303" t="s">
        <v>264</v>
      </c>
    </row>
    <row r="91" spans="1:11" ht="26.4" hidden="1" x14ac:dyDescent="0.25">
      <c r="A91" s="197" t="s">
        <v>225</v>
      </c>
      <c r="B91" s="197" t="s">
        <v>241</v>
      </c>
      <c r="C91" s="202" t="s">
        <v>246</v>
      </c>
      <c r="D91" s="203" t="s">
        <v>267</v>
      </c>
      <c r="F91" s="202" t="s">
        <v>243</v>
      </c>
    </row>
    <row r="92" spans="1:11" hidden="1" x14ac:dyDescent="0.25">
      <c r="A92" s="197" t="s">
        <v>226</v>
      </c>
      <c r="B92" s="202"/>
      <c r="F92" s="202" t="s">
        <v>192</v>
      </c>
    </row>
    <row r="93" spans="1:11" hidden="1" x14ac:dyDescent="0.25">
      <c r="A93" s="197" t="s">
        <v>274</v>
      </c>
    </row>
    <row r="94" spans="1:11" hidden="1" x14ac:dyDescent="0.25">
      <c r="A94" s="197" t="s">
        <v>194</v>
      </c>
    </row>
    <row r="95" spans="1:11" hidden="1" x14ac:dyDescent="0.25">
      <c r="A95" s="198" t="s">
        <v>227</v>
      </c>
    </row>
    <row r="96" spans="1:11" hidden="1" x14ac:dyDescent="0.25">
      <c r="A96" s="200" t="s">
        <v>228</v>
      </c>
    </row>
    <row r="97" hidden="1" x14ac:dyDescent="0.25"/>
    <row r="98" hidden="1" x14ac:dyDescent="0.25"/>
  </sheetData>
  <sheetProtection algorithmName="SHA-512" hashValue="UjrC5mBkgRvrQ3+8JqtGfvr3giwBeV9z/PWrK7hXFslHp89rBs2kujW7r2bP3nZ+sIscKFLrfew5uG+CrSmKHw==" saltValue="vfS7w4U2uts2Z1FIdqEJvQ==" spinCount="100000" sheet="1" objects="1" scenarios="1"/>
  <mergeCells count="5">
    <mergeCell ref="A80:B80"/>
    <mergeCell ref="A81:B81"/>
    <mergeCell ref="A1:M1"/>
    <mergeCell ref="K12:K13"/>
    <mergeCell ref="L12:L13"/>
  </mergeCells>
  <dataValidations count="3">
    <dataValidation type="list" allowBlank="1" showInputMessage="1" showErrorMessage="1" sqref="C6" xr:uid="{DE8AA751-F56A-4BD9-A961-3A776B65521E}">
      <formula1>$A$51:$A$61</formula1>
    </dataValidation>
    <dataValidation type="list" allowBlank="1" showInputMessage="1" showErrorMessage="1" sqref="C80" xr:uid="{9BD50940-662D-458C-B68F-492A20F2509A}">
      <formula1>INDIRECT("Vendor")</formula1>
    </dataValidation>
    <dataValidation type="list" allowBlank="1" showInputMessage="1" showErrorMessage="1" sqref="D80" xr:uid="{A28216E6-6BBB-48AA-8EFE-332BEF3ED579}">
      <formula1>INDIRECT(D80)</formula1>
    </dataValidation>
  </dataValidations>
  <pageMargins left="0.7" right="0.7" top="0.75" bottom="0.75" header="0.3" footer="0.3"/>
  <headerFooter>
    <oddFooter>&amp;C_x000D_&amp;1#&amp;"Calibri"&amp;10&amp;K000000 Mott MacDonald Restricted</oddFooter>
  </headerFooter>
  <drawing r:id="rId1"/>
  <legacyDrawing r:id="rId2"/>
  <tableParts count="9">
    <tablePart r:id="rId3"/>
    <tablePart r:id="rId4"/>
    <tablePart r:id="rId5"/>
    <tablePart r:id="rId6"/>
    <tablePart r:id="rId7"/>
    <tablePart r:id="rId8"/>
    <tablePart r:id="rId9"/>
    <tablePart r:id="rId10"/>
    <tablePart r:id="rId1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0" tint="-0.249977111117893"/>
  </sheetPr>
  <dimension ref="A1:H21"/>
  <sheetViews>
    <sheetView zoomScaleNormal="100" workbookViewId="0">
      <selection activeCell="C6" sqref="C6"/>
    </sheetView>
  </sheetViews>
  <sheetFormatPr defaultColWidth="8.90625" defaultRowHeight="13.8" x14ac:dyDescent="0.3"/>
  <cols>
    <col min="1" max="1" width="3.08984375" style="1" customWidth="1"/>
    <col min="2" max="6" width="8.90625" style="1"/>
    <col min="7" max="7" width="2.81640625" style="1" customWidth="1"/>
    <col min="8" max="8" width="8.90625" style="3"/>
    <col min="9" max="16384" width="8.90625" style="1"/>
  </cols>
  <sheetData>
    <row r="1" spans="1:8" s="9" customFormat="1" ht="18.75" customHeight="1" x14ac:dyDescent="0.25">
      <c r="A1" s="2" t="s">
        <v>34</v>
      </c>
      <c r="B1" s="6"/>
      <c r="C1" s="6"/>
      <c r="D1" s="6"/>
      <c r="E1" s="6"/>
      <c r="F1" s="6"/>
      <c r="G1" s="7"/>
      <c r="H1" s="8"/>
    </row>
    <row r="2" spans="1:8" x14ac:dyDescent="0.3">
      <c r="A2" s="4"/>
      <c r="G2" s="5"/>
    </row>
    <row r="3" spans="1:8" x14ac:dyDescent="0.3">
      <c r="A3" s="10"/>
      <c r="B3" s="22" t="s">
        <v>35</v>
      </c>
      <c r="C3" s="11"/>
      <c r="D3" s="11"/>
      <c r="E3" s="22" t="s">
        <v>36</v>
      </c>
      <c r="F3" s="11"/>
      <c r="G3" s="12"/>
    </row>
    <row r="4" spans="1:8" x14ac:dyDescent="0.3">
      <c r="A4" s="4"/>
      <c r="G4" s="5"/>
    </row>
    <row r="5" spans="1:8" s="19" customFormat="1" ht="69.599999999999994" thickBot="1" x14ac:dyDescent="0.35">
      <c r="A5" s="20"/>
      <c r="B5" s="16" t="s">
        <v>25</v>
      </c>
      <c r="C5" s="16" t="s">
        <v>33</v>
      </c>
      <c r="E5" s="16" t="s">
        <v>5</v>
      </c>
      <c r="F5" s="16" t="s">
        <v>27</v>
      </c>
      <c r="G5" s="17"/>
      <c r="H5" s="18"/>
    </row>
    <row r="6" spans="1:8" x14ac:dyDescent="0.3">
      <c r="A6" s="20"/>
      <c r="B6" s="23">
        <v>40</v>
      </c>
      <c r="C6" s="26">
        <f>'Performance Evaluation'!C42</f>
        <v>0.67700000000000005</v>
      </c>
      <c r="E6" s="23">
        <v>200</v>
      </c>
      <c r="F6" s="42">
        <f>'Performance Evaluation'!C46</f>
        <v>0.4</v>
      </c>
      <c r="G6" s="5"/>
      <c r="H6" s="21"/>
    </row>
    <row r="7" spans="1:8" x14ac:dyDescent="0.3">
      <c r="A7" s="20"/>
      <c r="B7" s="24">
        <v>80</v>
      </c>
      <c r="C7" s="26">
        <f>'Performance Evaluation'!D42</f>
        <v>0.63300000000000001</v>
      </c>
      <c r="E7" s="24">
        <v>800</v>
      </c>
      <c r="F7" s="43">
        <f>'Performance Evaluation'!D46</f>
        <v>3.4</v>
      </c>
      <c r="G7" s="5"/>
    </row>
    <row r="8" spans="1:8" x14ac:dyDescent="0.3">
      <c r="A8" s="20"/>
      <c r="B8" s="24">
        <v>200</v>
      </c>
      <c r="C8" s="26">
        <f>'Performance Evaluation'!E42</f>
        <v>0.54899999999999993</v>
      </c>
      <c r="E8" s="24">
        <v>1400</v>
      </c>
      <c r="F8" s="43">
        <f>'Performance Evaluation'!E46</f>
        <v>2</v>
      </c>
      <c r="G8" s="5"/>
    </row>
    <row r="9" spans="1:8" x14ac:dyDescent="0.3">
      <c r="A9" s="20"/>
      <c r="B9" s="24">
        <v>400</v>
      </c>
      <c r="C9" s="26">
        <f>'Performance Evaluation'!F42</f>
        <v>0.45399999999999996</v>
      </c>
      <c r="E9" s="24">
        <v>2000</v>
      </c>
      <c r="F9" s="43">
        <f>'Performance Evaluation'!F46</f>
        <v>0</v>
      </c>
      <c r="G9" s="5"/>
    </row>
    <row r="10" spans="1:8" ht="14.4" thickBot="1" x14ac:dyDescent="0.35">
      <c r="A10" s="20"/>
      <c r="B10" s="24">
        <v>600</v>
      </c>
      <c r="C10" s="26">
        <f>'Performance Evaluation'!G42</f>
        <v>0.42100000000000004</v>
      </c>
      <c r="E10" s="25">
        <v>2600</v>
      </c>
      <c r="F10" s="44">
        <f>'Performance Evaluation'!G46</f>
        <v>0.4</v>
      </c>
      <c r="G10" s="5"/>
    </row>
    <row r="11" spans="1:8" x14ac:dyDescent="0.3">
      <c r="A11" s="20"/>
      <c r="B11" s="24">
        <v>1000</v>
      </c>
      <c r="C11" s="26">
        <f>'Performance Evaluation'!H42</f>
        <v>0.35499999999999998</v>
      </c>
      <c r="G11" s="5"/>
    </row>
    <row r="12" spans="1:8" x14ac:dyDescent="0.3">
      <c r="A12" s="20"/>
      <c r="B12" s="24">
        <v>1400</v>
      </c>
      <c r="C12" s="26">
        <f>'Performance Evaluation'!I42</f>
        <v>0.33600000000000002</v>
      </c>
      <c r="G12" s="5"/>
    </row>
    <row r="13" spans="1:8" ht="14.4" thickBot="1" x14ac:dyDescent="0.35">
      <c r="A13" s="20"/>
      <c r="B13" s="25">
        <v>1800</v>
      </c>
      <c r="C13" s="27">
        <f>'Performance Evaluation'!K42</f>
        <v>0</v>
      </c>
      <c r="G13" s="5"/>
    </row>
    <row r="14" spans="1:8" ht="14.4" thickBot="1" x14ac:dyDescent="0.35">
      <c r="A14" s="13"/>
      <c r="B14" s="14"/>
      <c r="C14" s="14"/>
      <c r="D14" s="14"/>
      <c r="E14" s="14"/>
      <c r="F14" s="14"/>
      <c r="G14" s="15"/>
    </row>
    <row r="21" spans="4:4" x14ac:dyDescent="0.3">
      <c r="D21" s="209"/>
    </row>
  </sheetData>
  <sheetProtection formatCells="0" formatColumns="0" formatRows="0" insertHyperlinks="0" selectLockedCells="1"/>
  <pageMargins left="0.7" right="0.7" top="0.75" bottom="0.75" header="0.3" footer="0.3"/>
  <pageSetup orientation="portrait" r:id="rId1"/>
  <headerFooter>
    <oddFooter>&amp;C_x000D_&amp;1#&amp;"Calibri"&amp;10&amp;K000000 Mott MacDonald Restricted</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theme="0" tint="-0.249977111117893"/>
  </sheetPr>
  <dimension ref="A1:S45"/>
  <sheetViews>
    <sheetView workbookViewId="0">
      <selection activeCell="A14" sqref="A14"/>
    </sheetView>
  </sheetViews>
  <sheetFormatPr defaultRowHeight="15" x14ac:dyDescent="0.25"/>
  <cols>
    <col min="4" max="4" width="7.6328125" customWidth="1"/>
    <col min="5" max="5" width="6" customWidth="1"/>
    <col min="6" max="6" width="8.81640625" customWidth="1"/>
    <col min="12" max="12" width="50.36328125" style="39" customWidth="1"/>
    <col min="13" max="13" width="14.36328125" style="39" bestFit="1" customWidth="1"/>
    <col min="14" max="14" width="9.1796875" style="39" bestFit="1" customWidth="1"/>
    <col min="15" max="16" width="8.90625" style="39"/>
    <col min="17" max="19" width="8.90625" style="38"/>
  </cols>
  <sheetData>
    <row r="1" spans="1:19" ht="83.4" thickBot="1" x14ac:dyDescent="0.3">
      <c r="A1" s="28" t="s">
        <v>22</v>
      </c>
      <c r="B1" s="29" t="s">
        <v>32</v>
      </c>
      <c r="C1" s="29" t="s">
        <v>21</v>
      </c>
      <c r="D1" s="30" t="s">
        <v>17</v>
      </c>
      <c r="E1" s="30" t="s">
        <v>18</v>
      </c>
      <c r="F1" s="30" t="s">
        <v>7</v>
      </c>
      <c r="G1" s="31" t="s">
        <v>23</v>
      </c>
      <c r="H1" s="30" t="s">
        <v>20</v>
      </c>
      <c r="I1" s="30" t="s">
        <v>37</v>
      </c>
      <c r="J1" s="32" t="s">
        <v>19</v>
      </c>
      <c r="K1" s="285"/>
    </row>
    <row r="2" spans="1:19" ht="15.6" x14ac:dyDescent="0.3">
      <c r="A2" s="33">
        <f>'Performance Evaluation'!C66</f>
        <v>1.3</v>
      </c>
      <c r="B2" s="34">
        <f>'Performance Evaluation'!B66</f>
        <v>0.05</v>
      </c>
      <c r="C2" s="35">
        <f>'Performance Evaluation'!A66</f>
        <v>0.05</v>
      </c>
      <c r="D2" s="107">
        <f>'Performance Evaluation'!D66</f>
        <v>1.4094599999999999</v>
      </c>
      <c r="E2" s="108">
        <f>'Performance Evaluation'!E66</f>
        <v>1.4094599999999999</v>
      </c>
      <c r="F2" s="36">
        <f>'Performance Evaluation'!F66</f>
        <v>18.094837871471441</v>
      </c>
      <c r="G2" s="106">
        <f>'Performance Evaluation'!G66</f>
        <v>0.67700000000000005</v>
      </c>
      <c r="H2" s="106">
        <f>'Performance Evaluation'!I66</f>
        <v>3.3850000000000005E-2</v>
      </c>
      <c r="I2" s="106">
        <f>B2-H2</f>
        <v>1.6149999999999998E-2</v>
      </c>
      <c r="J2" s="101">
        <f>'Performance Evaluation'!K66</f>
        <v>3.3850000000000005E-2</v>
      </c>
    </row>
    <row r="3" spans="1:19" ht="15.6" x14ac:dyDescent="0.3">
      <c r="A3" s="33">
        <f>'Performance Evaluation'!C67</f>
        <v>1.5</v>
      </c>
      <c r="B3" s="34">
        <f>'Performance Evaluation'!B67</f>
        <v>0.05</v>
      </c>
      <c r="C3" s="35">
        <f>'Performance Evaluation'!A67</f>
        <v>0.1</v>
      </c>
      <c r="D3" s="107">
        <f>'Performance Evaluation'!D67</f>
        <v>1.6262999999999999</v>
      </c>
      <c r="E3" s="108">
        <f>'Performance Evaluation'!E67</f>
        <v>1.6262999999999999</v>
      </c>
      <c r="F3" s="36">
        <f>'Performance Evaluation'!F67</f>
        <v>20.878659082467042</v>
      </c>
      <c r="G3" s="106">
        <f>'Performance Evaluation'!G67</f>
        <v>0.67700000000000005</v>
      </c>
      <c r="H3" s="106">
        <f>'Performance Evaluation'!I67</f>
        <v>3.3850000000000005E-2</v>
      </c>
      <c r="I3" s="106">
        <f t="shared" ref="I3:I21" si="0">B3-H3</f>
        <v>1.6149999999999998E-2</v>
      </c>
      <c r="J3" s="101">
        <f>'Performance Evaluation'!K67</f>
        <v>6.770000000000001E-2</v>
      </c>
      <c r="L3" s="37" t="str">
        <f>M3&amp;CHAR(10)&amp;$N$3&amp;$O$3&amp;$P$3&amp;$Q$3&amp;" ("&amp;$R$3&amp;$S$3</f>
        <v>Tested vs Design TSS Removal Performance - 
Area 0.5ha; Model DM-1500 (2.44m-D)</v>
      </c>
      <c r="M3" s="37" t="s">
        <v>51</v>
      </c>
      <c r="N3" s="39" t="s">
        <v>47</v>
      </c>
      <c r="O3" s="39">
        <f>'Performance Evaluation'!C21</f>
        <v>0.5</v>
      </c>
      <c r="P3" s="39" t="s">
        <v>49</v>
      </c>
      <c r="Q3" s="38" t="str">
        <f>'Performance Evaluation'!H30</f>
        <v>DM-1500</v>
      </c>
      <c r="R3" s="40">
        <f>'Performance Evaluation'!E34</f>
        <v>2.44</v>
      </c>
      <c r="S3" s="40" t="s">
        <v>48</v>
      </c>
    </row>
    <row r="4" spans="1:19" ht="15.6" x14ac:dyDescent="0.3">
      <c r="A4" s="33">
        <f>'Performance Evaluation'!C68</f>
        <v>1.7</v>
      </c>
      <c r="B4" s="34">
        <f>'Performance Evaluation'!B68</f>
        <v>0.05</v>
      </c>
      <c r="C4" s="35">
        <f>'Performance Evaluation'!A68</f>
        <v>0.15000000000000002</v>
      </c>
      <c r="D4" s="107">
        <f>'Performance Evaluation'!D68</f>
        <v>1.84314</v>
      </c>
      <c r="E4" s="108">
        <f>'Performance Evaluation'!E68</f>
        <v>1.84314</v>
      </c>
      <c r="F4" s="36">
        <f>'Performance Evaluation'!F68</f>
        <v>23.662480293462654</v>
      </c>
      <c r="G4" s="106">
        <f>'Performance Evaluation'!G68</f>
        <v>0.67700000000000005</v>
      </c>
      <c r="H4" s="106">
        <f>'Performance Evaluation'!I68</f>
        <v>3.3850000000000005E-2</v>
      </c>
      <c r="I4" s="106">
        <f t="shared" si="0"/>
        <v>1.6149999999999998E-2</v>
      </c>
      <c r="J4" s="101">
        <f>'Performance Evaluation'!K68</f>
        <v>0.10155000000000002</v>
      </c>
      <c r="L4" s="37"/>
      <c r="M4" s="37"/>
      <c r="R4" s="40"/>
      <c r="S4" s="40"/>
    </row>
    <row r="5" spans="1:19" ht="15.6" x14ac:dyDescent="0.3">
      <c r="A5" s="33">
        <f>'Performance Evaluation'!C69</f>
        <v>2</v>
      </c>
      <c r="B5" s="34">
        <f>'Performance Evaluation'!B69</f>
        <v>0.05</v>
      </c>
      <c r="C5" s="35">
        <f>'Performance Evaluation'!A69</f>
        <v>0.2</v>
      </c>
      <c r="D5" s="107">
        <f>'Performance Evaluation'!D69</f>
        <v>2.1684000000000001</v>
      </c>
      <c r="E5" s="108">
        <f>'Performance Evaluation'!E69</f>
        <v>2.1684000000000001</v>
      </c>
      <c r="F5" s="36">
        <f>'Performance Evaluation'!F69</f>
        <v>27.838212109956064</v>
      </c>
      <c r="G5" s="106">
        <f>'Performance Evaluation'!G69</f>
        <v>0.67700000000000005</v>
      </c>
      <c r="H5" s="106">
        <f>'Performance Evaluation'!I69</f>
        <v>3.3850000000000005E-2</v>
      </c>
      <c r="I5" s="106">
        <f t="shared" si="0"/>
        <v>1.6149999999999998E-2</v>
      </c>
      <c r="J5" s="101">
        <f>'Performance Evaluation'!K69</f>
        <v>0.13540000000000002</v>
      </c>
      <c r="L5" s="37" t="str">
        <f>M5&amp;CHAR(10)&amp;$N$3&amp;$O$3&amp;$P$3&amp;$Q$3&amp;" ("&amp;$R$3&amp;$S$3</f>
        <v>Tested vs Design Scour Performance - 
Area 0.5ha; Model DM-1500 (2.44m-D)</v>
      </c>
      <c r="M5" s="37" t="s">
        <v>52</v>
      </c>
    </row>
    <row r="6" spans="1:19" ht="15.6" x14ac:dyDescent="0.3">
      <c r="A6" s="33">
        <f>'Performance Evaluation'!C70</f>
        <v>2.2999999999999998</v>
      </c>
      <c r="B6" s="34">
        <f>'Performance Evaluation'!B70</f>
        <v>0.05</v>
      </c>
      <c r="C6" s="35">
        <f>'Performance Evaluation'!A70</f>
        <v>0.25</v>
      </c>
      <c r="D6" s="107">
        <f>'Performance Evaluation'!D70</f>
        <v>2.4936599999999998</v>
      </c>
      <c r="E6" s="108">
        <f>'Performance Evaluation'!E70</f>
        <v>2.4936599999999998</v>
      </c>
      <c r="F6" s="36">
        <f>'Performance Evaluation'!F70</f>
        <v>32.013943926449471</v>
      </c>
      <c r="G6" s="106">
        <f>'Performance Evaluation'!G70</f>
        <v>0.67700000000000005</v>
      </c>
      <c r="H6" s="106">
        <f>'Performance Evaluation'!I70</f>
        <v>3.3850000000000005E-2</v>
      </c>
      <c r="I6" s="106">
        <f t="shared" si="0"/>
        <v>1.6149999999999998E-2</v>
      </c>
      <c r="J6" s="101">
        <f>'Performance Evaluation'!K70</f>
        <v>0.16925000000000001</v>
      </c>
      <c r="L6" s="37"/>
      <c r="M6" s="37"/>
    </row>
    <row r="7" spans="1:19" ht="15.6" x14ac:dyDescent="0.3">
      <c r="A7" s="33">
        <f>'Performance Evaluation'!C71</f>
        <v>2.6</v>
      </c>
      <c r="B7" s="34">
        <f>'Performance Evaluation'!B71</f>
        <v>0.05</v>
      </c>
      <c r="C7" s="35">
        <f>'Performance Evaluation'!A71</f>
        <v>0.3</v>
      </c>
      <c r="D7" s="107">
        <f>'Performance Evaluation'!D71</f>
        <v>2.8189199999999999</v>
      </c>
      <c r="E7" s="108">
        <f>'Performance Evaluation'!E71</f>
        <v>2.8189199999999999</v>
      </c>
      <c r="F7" s="36">
        <f>'Performance Evaluation'!F71</f>
        <v>36.189675742942882</v>
      </c>
      <c r="G7" s="106">
        <f>'Performance Evaluation'!G71</f>
        <v>0.67700000000000005</v>
      </c>
      <c r="H7" s="106">
        <f>'Performance Evaluation'!I71</f>
        <v>3.3850000000000005E-2</v>
      </c>
      <c r="I7" s="106">
        <f t="shared" si="0"/>
        <v>1.6149999999999998E-2</v>
      </c>
      <c r="J7" s="101">
        <f>'Performance Evaluation'!K71</f>
        <v>0.2031</v>
      </c>
      <c r="L7" s="37" t="str">
        <f>M7&amp;CHAR(10)&amp;$N$3&amp;$O$3&amp;$P$3&amp;$Q$3&amp;" ("&amp;$R$3&amp;$S$3</f>
        <v>Overall TSS Removal Summary - 
Area 0.5ha; Model DM-1500 (2.44m-D)</v>
      </c>
      <c r="M7" s="37" t="s">
        <v>50</v>
      </c>
    </row>
    <row r="8" spans="1:19" ht="15.6" x14ac:dyDescent="0.3">
      <c r="A8" s="33">
        <f>'Performance Evaluation'!C72</f>
        <v>2.9</v>
      </c>
      <c r="B8" s="34">
        <f>'Performance Evaluation'!B72</f>
        <v>0.05</v>
      </c>
      <c r="C8" s="35">
        <f>'Performance Evaluation'!A72</f>
        <v>0.35</v>
      </c>
      <c r="D8" s="107">
        <f>'Performance Evaluation'!D72</f>
        <v>3.14418</v>
      </c>
      <c r="E8" s="108">
        <f>'Performance Evaluation'!E72</f>
        <v>3.14418</v>
      </c>
      <c r="F8" s="36">
        <f>'Performance Evaluation'!F72</f>
        <v>40.365407559436292</v>
      </c>
      <c r="G8" s="106">
        <f>'Performance Evaluation'!G72</f>
        <v>0.67659805168462017</v>
      </c>
      <c r="H8" s="106">
        <f>'Performance Evaluation'!I72</f>
        <v>3.3829902584231013E-2</v>
      </c>
      <c r="I8" s="106">
        <f t="shared" si="0"/>
        <v>1.617009741576899E-2</v>
      </c>
      <c r="J8" s="101">
        <f>'Performance Evaluation'!K72</f>
        <v>0.23692990258423102</v>
      </c>
      <c r="L8" s="37"/>
      <c r="M8" s="37"/>
    </row>
    <row r="9" spans="1:19" ht="15.6" x14ac:dyDescent="0.3">
      <c r="A9" s="33">
        <f>'Performance Evaluation'!C73</f>
        <v>3.3</v>
      </c>
      <c r="B9" s="34">
        <f>'Performance Evaluation'!B73</f>
        <v>0.05</v>
      </c>
      <c r="C9" s="35">
        <f>'Performance Evaluation'!A73</f>
        <v>0.39999999999999997</v>
      </c>
      <c r="D9" s="107">
        <f>'Performance Evaluation'!D73</f>
        <v>3.5778599999999994</v>
      </c>
      <c r="E9" s="108">
        <f>'Performance Evaluation'!E73</f>
        <v>3.5778599999999994</v>
      </c>
      <c r="F9" s="36">
        <f>'Performance Evaluation'!F73</f>
        <v>45.933049981427494</v>
      </c>
      <c r="G9" s="106">
        <f>'Performance Evaluation'!G73</f>
        <v>0.67047364502042983</v>
      </c>
      <c r="H9" s="106">
        <f>'Performance Evaluation'!I73</f>
        <v>3.3523682251021494E-2</v>
      </c>
      <c r="I9" s="106">
        <f t="shared" si="0"/>
        <v>1.6476317748978508E-2</v>
      </c>
      <c r="J9" s="101">
        <f>'Performance Evaluation'!K73</f>
        <v>0.2704535848352525</v>
      </c>
    </row>
    <row r="10" spans="1:19" ht="15.6" x14ac:dyDescent="0.3">
      <c r="A10" s="33">
        <f>'Performance Evaluation'!C74</f>
        <v>3.8</v>
      </c>
      <c r="B10" s="34">
        <f>'Performance Evaluation'!B74</f>
        <v>0.05</v>
      </c>
      <c r="C10" s="35">
        <f>'Performance Evaluation'!A74</f>
        <v>0.44999999999999996</v>
      </c>
      <c r="D10" s="107">
        <f>'Performance Evaluation'!D74</f>
        <v>4.1199599999999998</v>
      </c>
      <c r="E10" s="108">
        <f>'Performance Evaluation'!E74</f>
        <v>4.1199599999999998</v>
      </c>
      <c r="F10" s="36">
        <f>'Performance Evaluation'!F74</f>
        <v>52.892603008916517</v>
      </c>
      <c r="G10" s="106">
        <f>'Performance Evaluation'!G74</f>
        <v>0.66281813669019185</v>
      </c>
      <c r="H10" s="106">
        <f>'Performance Evaluation'!I74</f>
        <v>3.3140906834509591E-2</v>
      </c>
      <c r="I10" s="106">
        <f t="shared" si="0"/>
        <v>1.6859093165490412E-2</v>
      </c>
      <c r="J10" s="101">
        <f>'Performance Evaluation'!K74</f>
        <v>0.3035944916697621</v>
      </c>
    </row>
    <row r="11" spans="1:19" ht="15.6" x14ac:dyDescent="0.3">
      <c r="A11" s="33">
        <f>'Performance Evaluation'!C75</f>
        <v>4.2</v>
      </c>
      <c r="B11" s="34">
        <f>'Performance Evaluation'!B75</f>
        <v>0.05</v>
      </c>
      <c r="C11" s="35">
        <f>'Performance Evaluation'!A75</f>
        <v>0.49999999999999994</v>
      </c>
      <c r="D11" s="107">
        <f>'Performance Evaluation'!D75</f>
        <v>4.5536399999999997</v>
      </c>
      <c r="E11" s="108">
        <f>'Performance Evaluation'!E75</f>
        <v>4.5536399999999997</v>
      </c>
      <c r="F11" s="36">
        <f>'Performance Evaluation'!F75</f>
        <v>58.460245430907726</v>
      </c>
      <c r="G11" s="106">
        <f>'Performance Evaluation'!G75</f>
        <v>0.65669373002600151</v>
      </c>
      <c r="H11" s="106">
        <f>'Performance Evaluation'!I75</f>
        <v>3.283468650130008E-2</v>
      </c>
      <c r="I11" s="106">
        <f t="shared" si="0"/>
        <v>1.7165313498699923E-2</v>
      </c>
      <c r="J11" s="101">
        <f>'Performance Evaluation'!K75</f>
        <v>0.33642917817106216</v>
      </c>
      <c r="L11" s="41" t="str">
        <f>M7&amp;N11</f>
        <v>Overall TSS Removal Summary - 0.625</v>
      </c>
      <c r="M11" s="39" t="s">
        <v>55</v>
      </c>
      <c r="N11" s="102">
        <f>ROUND(J21,3)</f>
        <v>0.625</v>
      </c>
    </row>
    <row r="12" spans="1:19" ht="15.6" x14ac:dyDescent="0.3">
      <c r="A12" s="33">
        <f>'Performance Evaluation'!C76</f>
        <v>4.8</v>
      </c>
      <c r="B12" s="34">
        <f>'Performance Evaluation'!B76</f>
        <v>0.05</v>
      </c>
      <c r="C12" s="35">
        <f>'Performance Evaluation'!A76</f>
        <v>0.54999999999999993</v>
      </c>
      <c r="D12" s="107">
        <f>'Performance Evaluation'!D76</f>
        <v>5.204159999999999</v>
      </c>
      <c r="E12" s="108">
        <f>'Performance Evaluation'!E76</f>
        <v>5.204159999999999</v>
      </c>
      <c r="F12" s="36">
        <f>'Performance Evaluation'!F76</f>
        <v>66.811709063894526</v>
      </c>
      <c r="G12" s="106">
        <f>'Performance Evaluation'!G76</f>
        <v>0.647507120029716</v>
      </c>
      <c r="H12" s="106">
        <f>'Performance Evaluation'!I76</f>
        <v>3.2375356001485799E-2</v>
      </c>
      <c r="I12" s="106">
        <f t="shared" si="0"/>
        <v>1.7624643998514204E-2</v>
      </c>
      <c r="J12" s="101">
        <f>'Performance Evaluation'!K76</f>
        <v>0.36880453417254794</v>
      </c>
      <c r="L12" s="41"/>
      <c r="N12" s="102"/>
    </row>
    <row r="13" spans="1:19" ht="15.6" x14ac:dyDescent="0.3">
      <c r="A13" s="33">
        <f>'Performance Evaluation'!C77</f>
        <v>5.4</v>
      </c>
      <c r="B13" s="34">
        <f>'Performance Evaluation'!B77</f>
        <v>0.05</v>
      </c>
      <c r="C13" s="35">
        <f>'Performance Evaluation'!A77</f>
        <v>0.6</v>
      </c>
      <c r="D13" s="107">
        <f>'Performance Evaluation'!D77</f>
        <v>5.8546800000000001</v>
      </c>
      <c r="E13" s="108">
        <f>'Performance Evaluation'!E77</f>
        <v>5.8546800000000001</v>
      </c>
      <c r="F13" s="36">
        <f>'Performance Evaluation'!F77</f>
        <v>75.163172696881361</v>
      </c>
      <c r="G13" s="106">
        <f>'Performance Evaluation'!G77</f>
        <v>0.63832051003343049</v>
      </c>
      <c r="H13" s="106">
        <f>'Performance Evaluation'!I77</f>
        <v>3.1916025501671524E-2</v>
      </c>
      <c r="I13" s="106">
        <f t="shared" si="0"/>
        <v>1.8083974498328478E-2</v>
      </c>
      <c r="J13" s="101">
        <f>'Performance Evaluation'!K77</f>
        <v>0.40072055967421949</v>
      </c>
    </row>
    <row r="14" spans="1:19" ht="15.6" x14ac:dyDescent="0.3">
      <c r="A14" s="33">
        <f>'Performance Evaluation'!C78</f>
        <v>6.1</v>
      </c>
      <c r="B14" s="34">
        <f>'Performance Evaluation'!B78</f>
        <v>0.05</v>
      </c>
      <c r="C14" s="35">
        <f>'Performance Evaluation'!A78</f>
        <v>0.65</v>
      </c>
      <c r="D14" s="107">
        <f>'Performance Evaluation'!D78</f>
        <v>6.6136199999999992</v>
      </c>
      <c r="E14" s="108">
        <f>'Performance Evaluation'!E78</f>
        <v>6.6136199999999992</v>
      </c>
      <c r="F14" s="36">
        <f>'Performance Evaluation'!F78</f>
        <v>84.906546935365981</v>
      </c>
      <c r="G14" s="106">
        <f>'Performance Evaluation'!G78</f>
        <v>0.62956541714524383</v>
      </c>
      <c r="H14" s="106">
        <f>'Performance Evaluation'!I78</f>
        <v>3.1478270857262194E-2</v>
      </c>
      <c r="I14" s="106">
        <f t="shared" si="0"/>
        <v>1.8521729142737808E-2</v>
      </c>
      <c r="J14" s="101">
        <f>'Performance Evaluation'!K78</f>
        <v>0.43219883053148167</v>
      </c>
    </row>
    <row r="15" spans="1:19" ht="15.6" x14ac:dyDescent="0.3">
      <c r="A15" s="33">
        <f>'Performance Evaluation'!C79</f>
        <v>7.1</v>
      </c>
      <c r="B15" s="34">
        <f>'Performance Evaluation'!B79</f>
        <v>0.05</v>
      </c>
      <c r="C15" s="35">
        <f>'Performance Evaluation'!A79</f>
        <v>0.70000000000000007</v>
      </c>
      <c r="D15" s="107">
        <f>'Performance Evaluation'!D79</f>
        <v>7.6978200000000001</v>
      </c>
      <c r="E15" s="108">
        <f>'Performance Evaluation'!E79</f>
        <v>7.6978200000000001</v>
      </c>
      <c r="F15" s="36">
        <f>'Performance Evaluation'!F79</f>
        <v>98.825652990344011</v>
      </c>
      <c r="G15" s="106">
        <f>'Performance Evaluation'!G79</f>
        <v>0.61982204290675924</v>
      </c>
      <c r="H15" s="106">
        <f>'Performance Evaluation'!I79</f>
        <v>3.0991102145337963E-2</v>
      </c>
      <c r="I15" s="106">
        <f t="shared" si="0"/>
        <v>1.9008897854662039E-2</v>
      </c>
      <c r="J15" s="101">
        <f>'Performance Evaluation'!K79</f>
        <v>0.46318993267681963</v>
      </c>
    </row>
    <row r="16" spans="1:19" ht="15.6" x14ac:dyDescent="0.3">
      <c r="A16" s="33">
        <f>'Performance Evaluation'!C80</f>
        <v>8.1999999999999993</v>
      </c>
      <c r="B16" s="34">
        <f>'Performance Evaluation'!B80</f>
        <v>0.05</v>
      </c>
      <c r="C16" s="35">
        <f>'Performance Evaluation'!A80</f>
        <v>0.75000000000000011</v>
      </c>
      <c r="D16" s="107">
        <f>'Performance Evaluation'!D80</f>
        <v>8.8904399999999999</v>
      </c>
      <c r="E16" s="108">
        <f>'Performance Evaluation'!E80</f>
        <v>8.8904399999999999</v>
      </c>
      <c r="F16" s="36">
        <f>'Performance Evaluation'!F80</f>
        <v>114.13666965081984</v>
      </c>
      <c r="G16" s="106">
        <f>'Performance Evaluation'!G80</f>
        <v>0.60910433124442609</v>
      </c>
      <c r="H16" s="106">
        <f>'Performance Evaluation'!I80</f>
        <v>3.0455216562221304E-2</v>
      </c>
      <c r="I16" s="106">
        <f t="shared" si="0"/>
        <v>1.9544783437778698E-2</v>
      </c>
      <c r="J16" s="101">
        <f>'Performance Evaluation'!K80</f>
        <v>0.4936451492390409</v>
      </c>
    </row>
    <row r="17" spans="1:10" ht="15.6" x14ac:dyDescent="0.3">
      <c r="A17" s="33">
        <f>'Performance Evaluation'!C81</f>
        <v>10.199999999999999</v>
      </c>
      <c r="B17" s="34">
        <f>'Performance Evaluation'!B81</f>
        <v>0.05</v>
      </c>
      <c r="C17" s="35">
        <f>'Performance Evaluation'!A81</f>
        <v>0.80000000000000016</v>
      </c>
      <c r="D17" s="107">
        <f>'Performance Evaluation'!D81</f>
        <v>11.058839999999998</v>
      </c>
      <c r="E17" s="108">
        <f>'Performance Evaluation'!E81</f>
        <v>11.058839999999998</v>
      </c>
      <c r="F17" s="36">
        <f>'Performance Evaluation'!F81</f>
        <v>141.97488176077587</v>
      </c>
      <c r="G17" s="106">
        <f>'Performance Evaluation'!G81</f>
        <v>0.5896175827674569</v>
      </c>
      <c r="H17" s="106">
        <f>'Performance Evaluation'!I81</f>
        <v>2.9480879138372846E-2</v>
      </c>
      <c r="I17" s="106">
        <f t="shared" si="0"/>
        <v>2.0519120861627157E-2</v>
      </c>
      <c r="J17" s="101">
        <f>'Performance Evaluation'!K81</f>
        <v>0.52312602837741373</v>
      </c>
    </row>
    <row r="18" spans="1:10" ht="15.6" x14ac:dyDescent="0.3">
      <c r="A18" s="33">
        <f>'Performance Evaluation'!C82</f>
        <v>12.6</v>
      </c>
      <c r="B18" s="34">
        <f>'Performance Evaluation'!B82</f>
        <v>0.05</v>
      </c>
      <c r="C18" s="35">
        <f>'Performance Evaluation'!A82</f>
        <v>0.8500000000000002</v>
      </c>
      <c r="D18" s="107">
        <f>'Performance Evaluation'!D82</f>
        <v>13.660919999999999</v>
      </c>
      <c r="E18" s="108">
        <f>'Performance Evaluation'!E82</f>
        <v>13.660919999999999</v>
      </c>
      <c r="F18" s="36">
        <f>'Performance Evaluation'!F82</f>
        <v>175.38073629272316</v>
      </c>
      <c r="G18" s="106">
        <f>'Performance Evaluation'!G82</f>
        <v>0.56623348459509382</v>
      </c>
      <c r="H18" s="106">
        <f>'Performance Evaluation'!I82</f>
        <v>2.8311674229754693E-2</v>
      </c>
      <c r="I18" s="106">
        <f t="shared" si="0"/>
        <v>2.168832577024531E-2</v>
      </c>
      <c r="J18" s="101">
        <f>'Performance Evaluation'!K82</f>
        <v>0.5514377026071684</v>
      </c>
    </row>
    <row r="19" spans="1:10" ht="15.6" x14ac:dyDescent="0.3">
      <c r="A19" s="33">
        <f>'Performance Evaluation'!C83</f>
        <v>16.3</v>
      </c>
      <c r="B19" s="34">
        <f>'Performance Evaluation'!B83</f>
        <v>0.05</v>
      </c>
      <c r="C19" s="35">
        <f>'Performance Evaluation'!A83</f>
        <v>0.90000000000000024</v>
      </c>
      <c r="D19" s="107">
        <f>'Performance Evaluation'!D83</f>
        <v>17.672460000000001</v>
      </c>
      <c r="E19" s="108">
        <f>'Performance Evaluation'!E83</f>
        <v>17.672460000000001</v>
      </c>
      <c r="F19" s="36">
        <f>'Performance Evaluation'!F83</f>
        <v>226.88142869614191</v>
      </c>
      <c r="G19" s="106">
        <f>'Performance Evaluation'!G83</f>
        <v>0.53623132136933249</v>
      </c>
      <c r="H19" s="106">
        <f>'Performance Evaluation'!I83</f>
        <v>2.6811566068466627E-2</v>
      </c>
      <c r="I19" s="106">
        <f t="shared" si="0"/>
        <v>2.3188433931533376E-2</v>
      </c>
      <c r="J19" s="101">
        <f>'Performance Evaluation'!K83</f>
        <v>0.57824926867563498</v>
      </c>
    </row>
    <row r="20" spans="1:10" ht="15.6" x14ac:dyDescent="0.3">
      <c r="A20" s="33">
        <f>'Performance Evaluation'!C84</f>
        <v>23.1</v>
      </c>
      <c r="B20" s="34">
        <f>'Performance Evaluation'!B84</f>
        <v>0.05</v>
      </c>
      <c r="C20" s="35">
        <f>'Performance Evaluation'!A84</f>
        <v>0.95000000000000029</v>
      </c>
      <c r="D20" s="107">
        <f>'Performance Evaluation'!D84</f>
        <v>25.045020000000001</v>
      </c>
      <c r="E20" s="108">
        <f>'Performance Evaluation'!E84</f>
        <v>25.045020000000001</v>
      </c>
      <c r="F20" s="36">
        <f>'Performance Evaluation'!F84</f>
        <v>321.53134986999248</v>
      </c>
      <c r="G20" s="106">
        <f>'Performance Evaluation'!G84</f>
        <v>0.4912726088117535</v>
      </c>
      <c r="H20" s="106">
        <f>'Performance Evaluation'!I84</f>
        <v>2.4563630440587677E-2</v>
      </c>
      <c r="I20" s="106">
        <f t="shared" si="0"/>
        <v>2.5436369559412326E-2</v>
      </c>
      <c r="J20" s="101">
        <f>'Performance Evaluation'!K84</f>
        <v>0.6028128991162226</v>
      </c>
    </row>
    <row r="21" spans="1:10" ht="15.6" x14ac:dyDescent="0.3">
      <c r="A21" s="33">
        <f>'Performance Evaluation'!C85</f>
        <v>35.200000000000003</v>
      </c>
      <c r="B21" s="34">
        <f>'Performance Evaluation'!B85</f>
        <v>0.05</v>
      </c>
      <c r="C21" s="35">
        <f>'Performance Evaluation'!A85</f>
        <v>1.0000000000000002</v>
      </c>
      <c r="D21" s="107">
        <f>'Performance Evaluation'!D85</f>
        <v>38.16384</v>
      </c>
      <c r="E21" s="108">
        <f>'Performance Evaluation'!E85</f>
        <v>38.16384</v>
      </c>
      <c r="F21" s="36">
        <f>'Performance Evaluation'!F85</f>
        <v>489.95253313522664</v>
      </c>
      <c r="G21" s="106">
        <f>'Performance Evaluation'!G85</f>
        <v>0.4391578320326876</v>
      </c>
      <c r="H21" s="106">
        <f>'Performance Evaluation'!I85</f>
        <v>2.1957891601634381E-2</v>
      </c>
      <c r="I21" s="106">
        <f t="shared" si="0"/>
        <v>2.8042108398365621E-2</v>
      </c>
      <c r="J21" s="101">
        <f>'Performance Evaluation'!K85</f>
        <v>0.62477079071785702</v>
      </c>
    </row>
    <row r="25" spans="1:10" ht="15.6" thickBot="1" x14ac:dyDescent="0.3">
      <c r="A25" s="28" t="s">
        <v>258</v>
      </c>
    </row>
    <row r="26" spans="1:10" ht="15.6" x14ac:dyDescent="0.3">
      <c r="A26" s="33" cm="1">
        <f t="array" ref="A26:C26">'Performance Evaluation'!C17:E17</f>
        <v>0.6</v>
      </c>
      <c r="B26">
        <v>0</v>
      </c>
      <c r="C26">
        <v>0</v>
      </c>
      <c r="E26" s="134"/>
      <c r="F26" s="134"/>
    </row>
    <row r="27" spans="1:10" ht="15.6" x14ac:dyDescent="0.3">
      <c r="A27" s="33">
        <f>A26</f>
        <v>0.6</v>
      </c>
    </row>
    <row r="28" spans="1:10" ht="15.6" x14ac:dyDescent="0.3">
      <c r="A28" s="33">
        <f t="shared" ref="A28:A45" si="1">A27</f>
        <v>0.6</v>
      </c>
      <c r="E28" s="134"/>
      <c r="F28" s="134"/>
    </row>
    <row r="29" spans="1:10" ht="15.6" x14ac:dyDescent="0.3">
      <c r="A29" s="33">
        <f t="shared" si="1"/>
        <v>0.6</v>
      </c>
      <c r="D29" s="135"/>
      <c r="E29" s="136"/>
      <c r="F29" s="136"/>
    </row>
    <row r="30" spans="1:10" ht="15.6" x14ac:dyDescent="0.3">
      <c r="A30" s="33">
        <f t="shared" si="1"/>
        <v>0.6</v>
      </c>
      <c r="D30" s="135"/>
      <c r="E30" s="136"/>
      <c r="F30" s="136"/>
    </row>
    <row r="31" spans="1:10" ht="15.6" x14ac:dyDescent="0.3">
      <c r="A31" s="33">
        <f t="shared" si="1"/>
        <v>0.6</v>
      </c>
      <c r="D31" s="135"/>
      <c r="E31" s="136"/>
      <c r="F31" s="136"/>
    </row>
    <row r="32" spans="1:10" ht="15.6" x14ac:dyDescent="0.3">
      <c r="A32" s="33">
        <f t="shared" si="1"/>
        <v>0.6</v>
      </c>
      <c r="D32" s="135"/>
      <c r="E32" s="136"/>
      <c r="F32" s="136"/>
    </row>
    <row r="33" spans="1:6" ht="15.6" x14ac:dyDescent="0.3">
      <c r="A33" s="33">
        <f t="shared" si="1"/>
        <v>0.6</v>
      </c>
      <c r="D33" s="135"/>
      <c r="E33" s="136"/>
      <c r="F33" s="136"/>
    </row>
    <row r="34" spans="1:6" ht="15.6" x14ac:dyDescent="0.3">
      <c r="A34" s="33">
        <f t="shared" si="1"/>
        <v>0.6</v>
      </c>
      <c r="D34" s="135"/>
      <c r="E34" s="136"/>
      <c r="F34" s="136"/>
    </row>
    <row r="35" spans="1:6" ht="15.6" x14ac:dyDescent="0.3">
      <c r="A35" s="33">
        <f t="shared" si="1"/>
        <v>0.6</v>
      </c>
      <c r="D35" s="135"/>
      <c r="E35" s="136"/>
      <c r="F35" s="136"/>
    </row>
    <row r="36" spans="1:6" ht="15.6" x14ac:dyDescent="0.3">
      <c r="A36" s="33">
        <f t="shared" si="1"/>
        <v>0.6</v>
      </c>
      <c r="D36" s="135"/>
      <c r="E36" s="136"/>
      <c r="F36" s="136"/>
    </row>
    <row r="37" spans="1:6" ht="15.6" x14ac:dyDescent="0.3">
      <c r="A37" s="33">
        <f t="shared" si="1"/>
        <v>0.6</v>
      </c>
      <c r="D37" s="135"/>
      <c r="E37" s="136"/>
      <c r="F37" s="136"/>
    </row>
    <row r="38" spans="1:6" ht="15.6" x14ac:dyDescent="0.3">
      <c r="A38" s="33">
        <f t="shared" si="1"/>
        <v>0.6</v>
      </c>
      <c r="D38" s="135"/>
      <c r="E38" s="136"/>
      <c r="F38" s="136"/>
    </row>
    <row r="39" spans="1:6" ht="15.6" x14ac:dyDescent="0.3">
      <c r="A39" s="33">
        <f t="shared" si="1"/>
        <v>0.6</v>
      </c>
      <c r="D39" s="135"/>
      <c r="E39" s="136"/>
      <c r="F39" s="136"/>
    </row>
    <row r="40" spans="1:6" ht="15.6" x14ac:dyDescent="0.3">
      <c r="A40" s="33">
        <f t="shared" si="1"/>
        <v>0.6</v>
      </c>
    </row>
    <row r="41" spans="1:6" ht="15.6" x14ac:dyDescent="0.3">
      <c r="A41" s="33">
        <f t="shared" si="1"/>
        <v>0.6</v>
      </c>
    </row>
    <row r="42" spans="1:6" ht="15.6" x14ac:dyDescent="0.3">
      <c r="A42" s="33">
        <f t="shared" si="1"/>
        <v>0.6</v>
      </c>
    </row>
    <row r="43" spans="1:6" ht="15.6" x14ac:dyDescent="0.3">
      <c r="A43" s="33">
        <f t="shared" si="1"/>
        <v>0.6</v>
      </c>
    </row>
    <row r="44" spans="1:6" ht="15.6" x14ac:dyDescent="0.3">
      <c r="A44" s="33">
        <f t="shared" si="1"/>
        <v>0.6</v>
      </c>
    </row>
    <row r="45" spans="1:6" ht="15.6" x14ac:dyDescent="0.3">
      <c r="A45" s="33">
        <f t="shared" si="1"/>
        <v>0.6</v>
      </c>
    </row>
  </sheetData>
  <pageMargins left="0.7" right="0.7" top="0.75" bottom="0.75" header="0.3" footer="0.3"/>
  <headerFooter>
    <oddFooter>&amp;C_x000D_&amp;1#&amp;"Calibri"&amp;10&amp;K000000 Mott MacDonald Restricted</oddFooter>
  </headerFooter>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22</vt:i4>
      </vt:variant>
    </vt:vector>
  </HeadingPairs>
  <TitlesOfParts>
    <vt:vector size="26" baseType="lpstr">
      <vt:lpstr>Performance Evaluation</vt:lpstr>
      <vt:lpstr>Rainfall &amp; Maintenance</vt:lpstr>
      <vt:lpstr>Test Unit Summary</vt:lpstr>
      <vt:lpstr>FIG-Annual Summary</vt:lpstr>
      <vt:lpstr>AnnualPrecip</vt:lpstr>
      <vt:lpstr>Area</vt:lpstr>
      <vt:lpstr>Contech</vt:lpstr>
      <vt:lpstr>EMC</vt:lpstr>
      <vt:lpstr>Hydoworks</vt:lpstr>
      <vt:lpstr>Hydro</vt:lpstr>
      <vt:lpstr>Hydro_International</vt:lpstr>
      <vt:lpstr>Hydroworks</vt:lpstr>
      <vt:lpstr>Imbrium</vt:lpstr>
      <vt:lpstr>Imbrium_Systems_Inc.</vt:lpstr>
      <vt:lpstr>Model_tested</vt:lpstr>
      <vt:lpstr>Next_Stormwater_Solutions</vt:lpstr>
      <vt:lpstr>NextStorm</vt:lpstr>
      <vt:lpstr>'Performance Evaluation'!Print_Area</vt:lpstr>
      <vt:lpstr>'Test Unit Summary'!Print_Area</vt:lpstr>
      <vt:lpstr>'Performance Evaluation'!Print_Titles</vt:lpstr>
      <vt:lpstr>Rainwater_Management_Ltd.</vt:lpstr>
      <vt:lpstr>RWM</vt:lpstr>
      <vt:lpstr>SF</vt:lpstr>
      <vt:lpstr>StormTrap</vt:lpstr>
      <vt:lpstr>Vendor</vt:lpstr>
      <vt:lpstr>WetDensity</vt:lpstr>
    </vt:vector>
  </TitlesOfParts>
  <Company>City of Toronto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Shad Hussain</dc:creator>
  <cp:lastModifiedBy>Christy Graham</cp:lastModifiedBy>
  <cp:lastPrinted>2023-07-19T13:05:50Z</cp:lastPrinted>
  <dcterms:created xsi:type="dcterms:W3CDTF">2018-10-01T15:45:09Z</dcterms:created>
  <dcterms:modified xsi:type="dcterms:W3CDTF">2024-11-07T16:32:34Z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9efa9f-42fe-4312-9503-c89a219c0830_Enabled">
    <vt:lpwstr>true</vt:lpwstr>
  </property>
  <property fmtid="{D5CDD505-2E9C-101B-9397-08002B2CF9AE}" pid="3" name="MSIP_Label_f49efa9f-42fe-4312-9503-c89a219c0830_SetDate">
    <vt:lpwstr>2024-09-06T22:37:40Z</vt:lpwstr>
  </property>
  <property fmtid="{D5CDD505-2E9C-101B-9397-08002B2CF9AE}" pid="4" name="MSIP_Label_f49efa9f-42fe-4312-9503-c89a219c0830_Method">
    <vt:lpwstr>Standard</vt:lpwstr>
  </property>
  <property fmtid="{D5CDD505-2E9C-101B-9397-08002B2CF9AE}" pid="5" name="MSIP_Label_f49efa9f-42fe-4312-9503-c89a219c0830_Name">
    <vt:lpwstr>MM RESTRICTED</vt:lpwstr>
  </property>
  <property fmtid="{D5CDD505-2E9C-101B-9397-08002B2CF9AE}" pid="6" name="MSIP_Label_f49efa9f-42fe-4312-9503-c89a219c0830_SiteId">
    <vt:lpwstr>a2bed0c4-5957-4f73-b0c2-a811407590fb</vt:lpwstr>
  </property>
  <property fmtid="{D5CDD505-2E9C-101B-9397-08002B2CF9AE}" pid="7" name="MSIP_Label_f49efa9f-42fe-4312-9503-c89a219c0830_ActionId">
    <vt:lpwstr>13b53535-5b2e-460a-a9c4-4400d511fa3c</vt:lpwstr>
  </property>
  <property fmtid="{D5CDD505-2E9C-101B-9397-08002B2CF9AE}" pid="8" name="MSIP_Label_f49efa9f-42fe-4312-9503-c89a219c0830_ContentBits">
    <vt:lpwstr>2</vt:lpwstr>
  </property>
</Properties>
</file>